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autoCompressPictures="0"/>
  <bookViews>
    <workbookView xWindow="0" yWindow="180" windowWidth="17256" windowHeight="9276" activeTab="2"/>
  </bookViews>
  <sheets>
    <sheet name="一月" sheetId="6" r:id="rId1"/>
    <sheet name="八月" sheetId="15" r:id="rId2"/>
    <sheet name="九月" sheetId="16" r:id="rId3"/>
    <sheet name="十月" sheetId="17" r:id="rId4"/>
    <sheet name="十一月" sheetId="18" r:id="rId5"/>
    <sheet name="十二月" sheetId="19" r:id="rId6"/>
    <sheet name="2017一月 " sheetId="21" r:id="rId7"/>
  </sheets>
  <definedNames>
    <definedName name="AprSun1" localSheetId="6">DATE('2017一月 '!CalendarYear,4,1)-WEEKDAY(DATE('2017一月 '!CalendarYear,4,1))+1</definedName>
    <definedName name="AprSun1">DATE(CalendarYear,4,1)-WEEKDAY(DATE(CalendarYear,4,1))+1</definedName>
    <definedName name="AugSun1" localSheetId="6">DATE('2017一月 '!CalendarYear,8,1)-WEEKDAY(DATE('2017一月 '!CalendarYear,8,1))+1</definedName>
    <definedName name="AugSun1">DATE(CalendarYear,8,1)-WEEKDAY(DATE(CalendarYear,8,1))+1</definedName>
    <definedName name="CalendarYear" localSheetId="6">'2017一月 '!$L$2</definedName>
    <definedName name="CalendarYear">一月!$L$2</definedName>
    <definedName name="DecSun1" localSheetId="6">DATE('2017一月 '!CalendarYear,12,1)-WEEKDAY(DATE('2017一月 '!CalendarYear,12,1))+1</definedName>
    <definedName name="DecSun1">DATE(CalendarYear,12,1)-WEEKDAY(DATE(CalendarYear,12,1))+1</definedName>
    <definedName name="FebSun1" localSheetId="6">DATE('2017一月 '!CalendarYear,2,1)-WEEKDAY(DATE('2017一月 '!CalendarYear,2,1))+1</definedName>
    <definedName name="FebSun1">DATE(CalendarYear,2,1)-WEEKDAY(DATE(CalendarYear,2,1))+1</definedName>
    <definedName name="JanSun1" localSheetId="6">DATE('2017一月 '!CalendarYear,1,1)-WEEKDAY(DATE('2017一月 '!CalendarYear,1,1))+1</definedName>
    <definedName name="JanSun1">DATE(CalendarYear,1,1)-WEEKDAY(DATE(CalendarYear,1,1))+1</definedName>
    <definedName name="JulSun1" localSheetId="6">DATE('2017一月 '!CalendarYear,7,1)-WEEKDAY(DATE('2017一月 '!CalendarYear,7,1))+1</definedName>
    <definedName name="JulSun1">DATE(CalendarYear,7,1)-WEEKDAY(DATE(CalendarYear,7,1))+1</definedName>
    <definedName name="JunSun1" localSheetId="6">DATE('2017一月 '!CalendarYear,6,1)-WEEKDAY(DATE('2017一月 '!CalendarYear,6,1))+1</definedName>
    <definedName name="JunSun1">DATE(CalendarYear,6,1)-WEEKDAY(DATE(CalendarYear,6,1))+1</definedName>
    <definedName name="MarSun1" localSheetId="6">DATE('2017一月 '!CalendarYear,3,1)-WEEKDAY(DATE('2017一月 '!CalendarYear,3,1))+1</definedName>
    <definedName name="MarSun1">DATE(CalendarYear,3,1)-WEEKDAY(DATE(CalendarYear,3,1))+1</definedName>
    <definedName name="MaySun1" localSheetId="6">DATE('2017一月 '!CalendarYear,5,1)-WEEKDAY(DATE('2017一月 '!CalendarYear,5,1))+1</definedName>
    <definedName name="MaySun1">DATE(CalendarYear,5,1)-WEEKDAY(DATE(CalendarYear,5,1))+1</definedName>
    <definedName name="NovSun1" localSheetId="6">DATE('2017一月 '!CalendarYear,11,1)-WEEKDAY(DATE('2017一月 '!CalendarYear,11,1))+1</definedName>
    <definedName name="NovSun1">DATE(CalendarYear,11,1)-WEEKDAY(DATE(CalendarYear,11,1))+1</definedName>
    <definedName name="OctSun1" localSheetId="6">DATE('2017一月 '!CalendarYear,10,1)-WEEKDAY(DATE('2017一月 '!CalendarYear,10,1))+1</definedName>
    <definedName name="OctSun1">DATE(CalendarYear,10,1)-WEEKDAY(DATE(CalendarYear,10,1))+1</definedName>
    <definedName name="_xlnm.Print_Area" localSheetId="6">'2017一月 '!$A$1:$H$36</definedName>
    <definedName name="_xlnm.Print_Area" localSheetId="0">一月!$A$1:$H$36</definedName>
    <definedName name="_xlnm.Print_Area" localSheetId="2">九月!$A$1:$H$36</definedName>
    <definedName name="_xlnm.Print_Area" localSheetId="1">八月!$A$1:$H$36</definedName>
    <definedName name="_xlnm.Print_Area" localSheetId="4">十一月!$A$1:$H$36</definedName>
    <definedName name="_xlnm.Print_Area" localSheetId="5">十二月!$A$1:$H$36</definedName>
    <definedName name="_xlnm.Print_Area" localSheetId="3">十月!$A$1:$H$36</definedName>
    <definedName name="SepSun1" localSheetId="6">DATE('2017一月 '!CalendarYear,9,1)-WEEKDAY(DATE('2017一月 '!CalendarYear,9,1))+1</definedName>
    <definedName name="SepSun1">DATE(CalendarYear,9,1)-WEEKDAY(DATE(CalendarYear,9,1))+1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21" l="1"/>
  <c r="B15" i="21"/>
  <c r="H13" i="21"/>
  <c r="G13" i="21"/>
  <c r="F13" i="21"/>
  <c r="E13" i="21"/>
  <c r="D13" i="21"/>
  <c r="C13" i="21"/>
  <c r="B13" i="21"/>
  <c r="H11" i="21"/>
  <c r="G11" i="21"/>
  <c r="F11" i="21"/>
  <c r="E11" i="21"/>
  <c r="D11" i="21"/>
  <c r="C11" i="21"/>
  <c r="B11" i="21"/>
  <c r="H9" i="21"/>
  <c r="G9" i="21"/>
  <c r="F9" i="21"/>
  <c r="E9" i="21"/>
  <c r="D9" i="21"/>
  <c r="C9" i="21"/>
  <c r="B9" i="21"/>
  <c r="H7" i="21"/>
  <c r="G7" i="21"/>
  <c r="F7" i="21"/>
  <c r="E7" i="21"/>
  <c r="D7" i="21"/>
  <c r="C7" i="21"/>
  <c r="B7" i="21"/>
  <c r="H5" i="21"/>
  <c r="G5" i="21"/>
  <c r="F5" i="21"/>
  <c r="E5" i="21"/>
  <c r="D5" i="21"/>
  <c r="C5" i="21"/>
  <c r="B5" i="21"/>
  <c r="B3" i="21"/>
  <c r="B3" i="6" l="1"/>
  <c r="B3" i="19" l="1"/>
  <c r="B3" i="18"/>
  <c r="B3" i="17"/>
  <c r="B3" i="16"/>
  <c r="B3" i="15"/>
  <c r="B5" i="6" l="1"/>
  <c r="D5" i="6"/>
  <c r="C15" i="15" l="1"/>
  <c r="B15" i="15"/>
  <c r="H13" i="15"/>
  <c r="G13" i="15"/>
  <c r="F13" i="15"/>
  <c r="E13" i="15"/>
  <c r="D13" i="15"/>
  <c r="C13" i="15"/>
  <c r="B13" i="15"/>
  <c r="H11" i="15"/>
  <c r="G11" i="15"/>
  <c r="F11" i="15"/>
  <c r="E11" i="15"/>
  <c r="D11" i="15"/>
  <c r="C11" i="15"/>
  <c r="B11" i="15"/>
  <c r="H9" i="15"/>
  <c r="G9" i="15"/>
  <c r="F9" i="15"/>
  <c r="E9" i="15"/>
  <c r="D9" i="15"/>
  <c r="C9" i="15"/>
  <c r="B9" i="15"/>
  <c r="H7" i="15"/>
  <c r="G7" i="15"/>
  <c r="F7" i="15"/>
  <c r="E7" i="15"/>
  <c r="D7" i="15"/>
  <c r="C7" i="15"/>
  <c r="B7" i="15"/>
  <c r="H5" i="15"/>
  <c r="G5" i="15"/>
  <c r="F5" i="15"/>
  <c r="E5" i="15"/>
  <c r="D5" i="15"/>
  <c r="C5" i="15"/>
  <c r="B5" i="15"/>
  <c r="C15" i="16"/>
  <c r="B15" i="16"/>
  <c r="H13" i="16"/>
  <c r="G13" i="16"/>
  <c r="F13" i="16"/>
  <c r="E13" i="16"/>
  <c r="D13" i="16"/>
  <c r="C13" i="16"/>
  <c r="B13" i="16"/>
  <c r="H11" i="16"/>
  <c r="G11" i="16"/>
  <c r="F11" i="16"/>
  <c r="E11" i="16"/>
  <c r="D11" i="16"/>
  <c r="C11" i="16"/>
  <c r="B11" i="16"/>
  <c r="H9" i="16"/>
  <c r="G9" i="16"/>
  <c r="F9" i="16"/>
  <c r="E9" i="16"/>
  <c r="D9" i="16"/>
  <c r="C9" i="16"/>
  <c r="B9" i="16"/>
  <c r="H7" i="16"/>
  <c r="G7" i="16"/>
  <c r="F7" i="16"/>
  <c r="E7" i="16"/>
  <c r="D7" i="16"/>
  <c r="C7" i="16"/>
  <c r="B7" i="16"/>
  <c r="H5" i="16"/>
  <c r="G5" i="16"/>
  <c r="F5" i="16"/>
  <c r="E5" i="16"/>
  <c r="D5" i="16"/>
  <c r="C5" i="16"/>
  <c r="B5" i="16"/>
  <c r="C15" i="17"/>
  <c r="B15" i="17"/>
  <c r="H13" i="17"/>
  <c r="G13" i="17"/>
  <c r="F13" i="17"/>
  <c r="E13" i="17"/>
  <c r="D13" i="17"/>
  <c r="C13" i="17"/>
  <c r="B13" i="17"/>
  <c r="H11" i="17"/>
  <c r="G11" i="17"/>
  <c r="F11" i="17"/>
  <c r="E11" i="17"/>
  <c r="D11" i="17"/>
  <c r="B11" i="17"/>
  <c r="H9" i="17"/>
  <c r="G9" i="17"/>
  <c r="F9" i="17"/>
  <c r="E9" i="17"/>
  <c r="D9" i="17"/>
  <c r="C9" i="17"/>
  <c r="B9" i="17"/>
  <c r="H7" i="17"/>
  <c r="G7" i="17"/>
  <c r="F7" i="17"/>
  <c r="E7" i="17"/>
  <c r="D7" i="17"/>
  <c r="C7" i="17"/>
  <c r="B7" i="17"/>
  <c r="H5" i="17"/>
  <c r="G5" i="17"/>
  <c r="F5" i="17"/>
  <c r="E5" i="17"/>
  <c r="D5" i="17"/>
  <c r="B5" i="17"/>
  <c r="C15" i="18"/>
  <c r="B15" i="18"/>
  <c r="H13" i="18"/>
  <c r="G13" i="18"/>
  <c r="F13" i="18"/>
  <c r="E13" i="18"/>
  <c r="D13" i="18"/>
  <c r="C13" i="18"/>
  <c r="B13" i="18"/>
  <c r="H11" i="18"/>
  <c r="G11" i="18"/>
  <c r="F11" i="18"/>
  <c r="E11" i="18"/>
  <c r="D11" i="18"/>
  <c r="C11" i="18"/>
  <c r="B11" i="18"/>
  <c r="H9" i="18"/>
  <c r="G9" i="18"/>
  <c r="F9" i="18"/>
  <c r="E9" i="18"/>
  <c r="D9" i="18"/>
  <c r="C9" i="18"/>
  <c r="B9" i="18"/>
  <c r="H7" i="18"/>
  <c r="G7" i="18"/>
  <c r="F7" i="18"/>
  <c r="E7" i="18"/>
  <c r="D7" i="18"/>
  <c r="C7" i="18"/>
  <c r="B7" i="18"/>
  <c r="H5" i="18"/>
  <c r="G5" i="18"/>
  <c r="F5" i="18"/>
  <c r="E5" i="18"/>
  <c r="D5" i="18"/>
  <c r="C5" i="18"/>
  <c r="B5" i="18"/>
  <c r="C15" i="19"/>
  <c r="B15" i="19"/>
  <c r="H13" i="19"/>
  <c r="G13" i="19"/>
  <c r="F13" i="19"/>
  <c r="E13" i="19"/>
  <c r="D13" i="19"/>
  <c r="C13" i="19"/>
  <c r="B13" i="19"/>
  <c r="H11" i="19"/>
  <c r="G11" i="19"/>
  <c r="F11" i="19"/>
  <c r="E11" i="19"/>
  <c r="D11" i="19"/>
  <c r="C11" i="19"/>
  <c r="B11" i="19"/>
  <c r="H9" i="19"/>
  <c r="G9" i="19"/>
  <c r="F9" i="19"/>
  <c r="E9" i="19"/>
  <c r="D9" i="19"/>
  <c r="C9" i="19"/>
  <c r="B9" i="19"/>
  <c r="H7" i="19"/>
  <c r="G7" i="19"/>
  <c r="F7" i="19"/>
  <c r="E7" i="19"/>
  <c r="D7" i="19"/>
  <c r="C7" i="19"/>
  <c r="B7" i="19"/>
  <c r="H5" i="19"/>
  <c r="G5" i="19"/>
  <c r="F5" i="19"/>
  <c r="E5" i="19"/>
  <c r="D5" i="19"/>
  <c r="C5" i="19"/>
  <c r="B5" i="19"/>
  <c r="C15" i="6" l="1"/>
  <c r="C5" i="6" l="1"/>
  <c r="E5" i="6"/>
  <c r="F5" i="6"/>
  <c r="G5" i="6"/>
  <c r="H5" i="6"/>
  <c r="B7" i="6"/>
  <c r="C7" i="6"/>
  <c r="D7" i="6"/>
  <c r="E7" i="6"/>
  <c r="F7" i="6"/>
  <c r="G7" i="6"/>
  <c r="H7" i="6"/>
  <c r="B9" i="6"/>
  <c r="C9" i="6"/>
  <c r="D9" i="6"/>
  <c r="E9" i="6"/>
  <c r="F9" i="6"/>
  <c r="G9" i="6"/>
  <c r="H9" i="6"/>
  <c r="B11" i="6"/>
  <c r="C11" i="6"/>
  <c r="D11" i="6"/>
  <c r="E11" i="6"/>
  <c r="F11" i="6"/>
  <c r="G11" i="6"/>
  <c r="H11" i="6"/>
  <c r="B13" i="6"/>
  <c r="C13" i="6"/>
  <c r="D13" i="6"/>
  <c r="E13" i="6"/>
  <c r="F13" i="6"/>
  <c r="G13" i="6"/>
  <c r="H13" i="6"/>
  <c r="B15" i="6"/>
</calcChain>
</file>

<file path=xl/sharedStrings.xml><?xml version="1.0" encoding="utf-8"?>
<sst xmlns="http://schemas.openxmlformats.org/spreadsheetml/2006/main" count="126" uniqueCount="76">
  <si>
    <t>星期一</t>
  </si>
  <si>
    <t>星期二</t>
  </si>
  <si>
    <t>星期三</t>
  </si>
  <si>
    <t>星期四</t>
  </si>
  <si>
    <t>星期五</t>
  </si>
  <si>
    <t>星期六</t>
  </si>
  <si>
    <t>星期日</t>
  </si>
  <si>
    <t>選取年度：</t>
    <phoneticPr fontId="6" type="noConversion"/>
  </si>
  <si>
    <t>附註：</t>
    <phoneticPr fontId="6" type="noConversion"/>
  </si>
  <si>
    <t>開學</t>
    <phoneticPr fontId="6" type="noConversion"/>
  </si>
  <si>
    <t>哲學x咖啡行前會</t>
    <phoneticPr fontId="6" type="noConversion"/>
  </si>
  <si>
    <t>哲學x咖啡籌備會二</t>
    <phoneticPr fontId="6" type="noConversion"/>
  </si>
  <si>
    <t>哲學x咖啡籌備會三</t>
    <phoneticPr fontId="6" type="noConversion"/>
  </si>
  <si>
    <t>哲學x咖啡籌備會一</t>
    <phoneticPr fontId="6" type="noConversion"/>
  </si>
  <si>
    <t>期末大會行前會</t>
    <phoneticPr fontId="6" type="noConversion"/>
  </si>
  <si>
    <t>_</t>
    <phoneticPr fontId="6" type="noConversion"/>
  </si>
  <si>
    <t>段</t>
    <phoneticPr fontId="6" type="noConversion"/>
  </si>
  <si>
    <t>考</t>
    <phoneticPr fontId="6" type="noConversion"/>
  </si>
  <si>
    <t>_</t>
    <phoneticPr fontId="19" type="noConversion"/>
  </si>
  <si>
    <t>_</t>
    <phoneticPr fontId="19" type="noConversion"/>
  </si>
  <si>
    <t>考</t>
    <phoneticPr fontId="19" type="noConversion"/>
  </si>
  <si>
    <t>段</t>
    <phoneticPr fontId="19" type="noConversion"/>
  </si>
  <si>
    <t>哲學說明會檢討會</t>
    <phoneticPr fontId="6" type="noConversion"/>
  </si>
  <si>
    <t>期末社員大會</t>
    <phoneticPr fontId="6" type="noConversion"/>
  </si>
  <si>
    <t>社課檢討會二和期末社員大會檢討會</t>
    <phoneticPr fontId="6" type="noConversion"/>
  </si>
  <si>
    <t>社課檢討會一</t>
    <phoneticPr fontId="6" type="noConversion"/>
  </si>
  <si>
    <t>105學年度第一學期</t>
    <phoneticPr fontId="6" type="noConversion"/>
  </si>
  <si>
    <t>第一次社資檢查</t>
    <phoneticPr fontId="6" type="noConversion"/>
  </si>
  <si>
    <t>第二次社資檢查</t>
    <phoneticPr fontId="19" type="noConversion"/>
  </si>
  <si>
    <t xml:space="preserve"> Ask not what your country can do for you, ask what you can do for your country.</t>
    <phoneticPr fontId="6" type="noConversion"/>
  </si>
  <si>
    <t>(1)The business of life is to go-forward.                                                                                   (2)有價值的東西，都要付出代價。</t>
    <phoneticPr fontId="6" type="noConversion"/>
  </si>
  <si>
    <t>(1)Union is strength.                                                                                                               (2)最後一個月了，大家堅持住。</t>
    <phoneticPr fontId="6" type="noConversion"/>
  </si>
  <si>
    <t>社長的話：</t>
    <phoneticPr fontId="6" type="noConversion"/>
  </si>
  <si>
    <t>社長的話：</t>
    <phoneticPr fontId="6" type="noConversion"/>
  </si>
  <si>
    <t>社長的話：</t>
    <phoneticPr fontId="6" type="noConversion"/>
  </si>
  <si>
    <t>社長的話：</t>
    <phoneticPr fontId="6" type="noConversion"/>
  </si>
  <si>
    <t>(1)生活最沈重的負擔不是工作，而是整天無所事事，每天都別忘了要思考。                                                            (2)社資檢查又來囉，先做完上學期的，下學期才不會被堆積如山的社資淹沒                              。</t>
    <phoneticPr fontId="19" type="noConversion"/>
  </si>
  <si>
    <t>哲學x桌遊行前會</t>
    <phoneticPr fontId="6" type="noConversion"/>
  </si>
  <si>
    <t xml:space="preserve">(1)Fire proves gold;adversity proves men.                                                                           (2)不要失去信念，只要鍥而不捨，就終會有成果的。                                                             (3)這個月要社資檢查喔!                                                                                                                                                                                                                                  </t>
    <phoneticPr fontId="6" type="noConversion"/>
  </si>
  <si>
    <t>法文科畢業公演</t>
  </si>
  <si>
    <t>哲學X動保籌備會一</t>
    <phoneticPr fontId="6" type="noConversion"/>
  </si>
  <si>
    <t>哲學X動保籌備會二</t>
    <phoneticPr fontId="6" type="noConversion"/>
  </si>
  <si>
    <t>哲學X動保行前會</t>
  </si>
  <si>
    <t xml:space="preserve">(1)Don't put off until tomorrow what you can do today.                                               (2)漫無目地的工作是辛苦的；然而為了崇高的目標而活時，既使辛勞，內心                        依然甘甜。                                                                                                                                 (3)請用心對待社員，讓他們對哲學社有歸屬感!                                                                             </t>
    <phoneticPr fontId="6" type="noConversion"/>
  </si>
  <si>
    <t>段考前一週無社課    日文科畢業公演</t>
    <phoneticPr fontId="6" type="noConversion"/>
  </si>
  <si>
    <t>哲學X動保行籌備會三</t>
    <phoneticPr fontId="6" type="noConversion"/>
  </si>
  <si>
    <t>哲學x咖啡檢討會</t>
    <phoneticPr fontId="6" type="noConversion"/>
  </si>
  <si>
    <t>哲學說明會籌二</t>
    <phoneticPr fontId="6" type="noConversion"/>
  </si>
  <si>
    <t>哲學X桌遊檢討會</t>
    <phoneticPr fontId="6" type="noConversion"/>
  </si>
  <si>
    <t>女性議題講座行前會</t>
    <phoneticPr fontId="6" type="noConversion"/>
  </si>
  <si>
    <t>期初社員大會檢討會</t>
    <phoneticPr fontId="6" type="noConversion"/>
  </si>
  <si>
    <t>女性議題講座籌備會二</t>
    <phoneticPr fontId="6" type="noConversion"/>
  </si>
  <si>
    <t>張智皓-生命應用倫理學</t>
    <phoneticPr fontId="6" type="noConversion"/>
  </si>
  <si>
    <t>洪偉-存有論</t>
    <phoneticPr fontId="6" type="noConversion"/>
  </si>
  <si>
    <t>羅士哲-生死學</t>
    <phoneticPr fontId="6" type="noConversion"/>
  </si>
  <si>
    <t>社團登記</t>
    <phoneticPr fontId="6" type="noConversion"/>
  </si>
  <si>
    <t>女性議題講座籌備會一</t>
  </si>
  <si>
    <t>幹部核心會議一</t>
    <phoneticPr fontId="6" type="noConversion"/>
  </si>
  <si>
    <t>哲學說明會                16:00-17:30          W008</t>
    <phoneticPr fontId="6" type="noConversion"/>
  </si>
  <si>
    <t>女性議題講座                16:30-18:30                  W008</t>
    <phoneticPr fontId="6" type="noConversion"/>
  </si>
  <si>
    <t>哲學X桌遊                          16:10-17:30                    E110</t>
    <phoneticPr fontId="6" type="noConversion"/>
  </si>
  <si>
    <t>看電影                                    E110</t>
    <phoneticPr fontId="6" type="noConversion"/>
  </si>
  <si>
    <t>哲學x咖啡                 16:20-17:20                    W008</t>
    <phoneticPr fontId="6" type="noConversion"/>
  </si>
  <si>
    <t>哲學X動保                             16:20-17:50                      W008</t>
    <phoneticPr fontId="6" type="noConversion"/>
  </si>
  <si>
    <t>林建勳-春秋戰國時代人民與政府的關係</t>
    <phoneticPr fontId="6" type="noConversion"/>
  </si>
  <si>
    <t>哲學說明會籌一                                            幹部核心會議二</t>
    <phoneticPr fontId="6" type="noConversion"/>
  </si>
  <si>
    <r>
      <t xml:space="preserve">社團登記                   </t>
    </r>
    <r>
      <rPr>
        <sz val="10"/>
        <color theme="0" tint="-0.499984740745262"/>
        <rFont val="Microsoft jhenghei"/>
        <family val="2"/>
        <charset val="136"/>
      </rPr>
      <t>補課</t>
    </r>
    <phoneticPr fontId="6" type="noConversion"/>
  </si>
  <si>
    <t>西文系畢業公演</t>
    <phoneticPr fontId="6" type="noConversion"/>
  </si>
  <si>
    <r>
      <t xml:space="preserve">英文科畢業公演                  </t>
    </r>
    <r>
      <rPr>
        <sz val="10"/>
        <color theme="9"/>
        <rFont val="Microsoft jhenghei"/>
        <family val="2"/>
        <charset val="136"/>
      </rPr>
      <t xml:space="preserve"> 蔡介裕-哲學概論</t>
    </r>
    <phoneticPr fontId="6" type="noConversion"/>
  </si>
  <si>
    <r>
      <t xml:space="preserve">期初社員大會                               </t>
    </r>
    <r>
      <rPr>
        <sz val="10"/>
        <color theme="0" tint="-0.499984740745262"/>
        <rFont val="Microsoft jhenghei"/>
        <family val="2"/>
        <charset val="136"/>
      </rPr>
      <t>德文科畢業公演</t>
    </r>
    <phoneticPr fontId="6" type="noConversion"/>
  </si>
  <si>
    <t>放假</t>
    <phoneticPr fontId="6" type="noConversion"/>
  </si>
  <si>
    <t xml:space="preserve">女性議題講座籌備會三                              </t>
    <phoneticPr fontId="6" type="noConversion"/>
  </si>
  <si>
    <t>哲學說明會行前會</t>
  </si>
  <si>
    <t>期初大會行前會</t>
  </si>
  <si>
    <t>哲學x桌遊籌備會一</t>
  </si>
  <si>
    <t>哲學x桌遊籌備會二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</si>
</sst>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d"/>
    <numFmt numFmtId="177" formatCode="mmmm\ yyyy"/>
    <numFmt numFmtId="178" formatCode="mmmm"/>
  </numFmts>
  <fonts count="21">
    <font>
      <sz val="12"/>
      <color theme="1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name val="Cambria"/>
      <family val="2"/>
      <scheme val="minor"/>
    </font>
    <font>
      <sz val="10"/>
      <color indexed="63"/>
      <name val="Cambria"/>
      <family val="4"/>
      <scheme val="minor"/>
    </font>
    <font>
      <b/>
      <sz val="28"/>
      <color theme="1" tint="0.34998626667073579"/>
      <name val="Cambria"/>
      <family val="2"/>
      <scheme val="minor"/>
    </font>
    <font>
      <u/>
      <sz val="12"/>
      <color theme="10"/>
      <name val="Cambria"/>
      <family val="2"/>
      <scheme val="minor"/>
    </font>
    <font>
      <sz val="9"/>
      <name val="Cambria"/>
      <family val="3"/>
      <charset val="136"/>
      <scheme val="minor"/>
    </font>
    <font>
      <b/>
      <sz val="9"/>
      <color theme="8"/>
      <name val="Microsoft JhengHei"/>
      <family val="2"/>
      <charset val="136"/>
    </font>
    <font>
      <sz val="11"/>
      <color theme="8"/>
      <name val="Microsoft JhengHei"/>
      <family val="2"/>
      <charset val="136"/>
    </font>
    <font>
      <sz val="12"/>
      <color theme="1"/>
      <name val="Microsoft jhenghei"/>
      <family val="2"/>
      <charset val="136"/>
    </font>
    <font>
      <sz val="11"/>
      <name val="Microsoft jhenghei"/>
      <family val="2"/>
      <charset val="136"/>
    </font>
    <font>
      <sz val="24"/>
      <color theme="8"/>
      <name val="Microsoft jhenghei"/>
      <family val="2"/>
      <charset val="136"/>
    </font>
    <font>
      <sz val="40"/>
      <color theme="8"/>
      <name val="Microsoft jhenghei"/>
      <family val="2"/>
      <charset val="136"/>
    </font>
    <font>
      <sz val="28"/>
      <color theme="8" tint="-0.499984740745262"/>
      <name val="Microsoft jhenghei"/>
      <family val="2"/>
      <charset val="136"/>
    </font>
    <font>
      <sz val="10"/>
      <name val="Microsoft jhenghei"/>
      <family val="2"/>
      <charset val="136"/>
    </font>
    <font>
      <sz val="10"/>
      <color theme="9"/>
      <name val="Microsoft jhenghei"/>
      <family val="2"/>
      <charset val="136"/>
    </font>
    <font>
      <b/>
      <sz val="11"/>
      <color theme="8"/>
      <name val="Microsoft jhenghei"/>
      <family val="2"/>
      <charset val="136"/>
    </font>
    <font>
      <sz val="11"/>
      <color theme="0" tint="-0.499984740745262"/>
      <name val="Microsoft jhenghei"/>
      <family val="2"/>
      <charset val="136"/>
    </font>
    <font>
      <u/>
      <sz val="12"/>
      <color theme="10"/>
      <name val="Microsoft jhenghei"/>
      <family val="2"/>
      <charset val="136"/>
    </font>
    <font>
      <sz val="9"/>
      <name val="細明體"/>
      <family val="3"/>
      <charset val="136"/>
      <scheme val="minor"/>
    </font>
    <font>
      <sz val="10"/>
      <color theme="0" tint="-0.499984740745262"/>
      <name val="Microsoft jhenghei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7"/>
      </right>
      <top style="thin">
        <color theme="8"/>
      </top>
      <bottom/>
      <diagonal/>
    </border>
    <border>
      <left style="thin">
        <color theme="7"/>
      </left>
      <right style="thin">
        <color theme="7"/>
      </right>
      <top style="thin">
        <color theme="8"/>
      </top>
      <bottom/>
      <diagonal/>
    </border>
    <border>
      <left style="thin">
        <color theme="7"/>
      </left>
      <right style="thin">
        <color theme="8"/>
      </right>
      <top style="thin">
        <color theme="8"/>
      </top>
      <bottom/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/>
      <top/>
      <bottom style="thin">
        <color theme="8"/>
      </bottom>
      <diagonal/>
    </border>
  </borders>
  <cellStyleXfs count="6">
    <xf numFmtId="0" fontId="0" fillId="0" borderId="0"/>
    <xf numFmtId="0" fontId="2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  <xf numFmtId="0" fontId="4" fillId="0" borderId="0" applyNumberFormat="0" applyFill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7" fillId="0" borderId="2" xfId="2" applyFont="1" applyFill="1" applyBorder="1" applyAlignment="1">
      <alignment horizontal="center" vertical="center"/>
    </xf>
    <xf numFmtId="0" fontId="8" fillId="0" borderId="0" xfId="1" applyFont="1" applyAlignment="1">
      <alignment horizontal="center"/>
    </xf>
    <xf numFmtId="0" fontId="9" fillId="0" borderId="0" xfId="0" applyFont="1"/>
    <xf numFmtId="0" fontId="10" fillId="0" borderId="0" xfId="1" applyFont="1"/>
    <xf numFmtId="0" fontId="11" fillId="0" borderId="0" xfId="0" applyFont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178" fontId="9" fillId="0" borderId="0" xfId="0" applyNumberFormat="1" applyFont="1"/>
    <xf numFmtId="176" fontId="8" fillId="4" borderId="11" xfId="1" applyNumberFormat="1" applyFont="1" applyFill="1" applyBorder="1" applyAlignment="1">
      <alignment horizontal="left" vertical="top" wrapText="1"/>
    </xf>
    <xf numFmtId="178" fontId="13" fillId="0" borderId="0" xfId="0" applyNumberFormat="1" applyFont="1" applyFill="1" applyBorder="1" applyAlignment="1">
      <alignment vertical="center" textRotation="90"/>
    </xf>
    <xf numFmtId="0" fontId="14" fillId="0" borderId="0" xfId="1" applyFont="1"/>
    <xf numFmtId="0" fontId="15" fillId="4" borderId="10" xfId="1" applyFont="1" applyFill="1" applyBorder="1" applyAlignment="1">
      <alignment horizontal="center" vertical="top" wrapText="1"/>
    </xf>
    <xf numFmtId="0" fontId="15" fillId="4" borderId="10" xfId="3" applyFont="1" applyFill="1" applyBorder="1" applyAlignment="1">
      <alignment horizontal="center" vertical="top" wrapText="1"/>
    </xf>
    <xf numFmtId="176" fontId="8" fillId="0" borderId="11" xfId="1" applyNumberFormat="1" applyFont="1" applyFill="1" applyBorder="1" applyAlignment="1">
      <alignment horizontal="left" vertical="top" wrapText="1"/>
    </xf>
    <xf numFmtId="0" fontId="15" fillId="0" borderId="10" xfId="1" applyFont="1" applyFill="1" applyBorder="1" applyAlignment="1">
      <alignment horizontal="center" vertical="top" wrapText="1"/>
    </xf>
    <xf numFmtId="0" fontId="15" fillId="0" borderId="10" xfId="3" applyFont="1" applyFill="1" applyBorder="1" applyAlignment="1">
      <alignment horizontal="center" vertical="top" wrapText="1"/>
    </xf>
    <xf numFmtId="176" fontId="8" fillId="4" borderId="12" xfId="1" applyNumberFormat="1" applyFont="1" applyFill="1" applyBorder="1" applyAlignment="1">
      <alignment horizontal="left" vertical="top" wrapText="1"/>
    </xf>
    <xf numFmtId="176" fontId="8" fillId="0" borderId="12" xfId="1" applyNumberFormat="1" applyFont="1" applyFill="1" applyBorder="1" applyAlignment="1">
      <alignment horizontal="left" vertical="top" wrapText="1"/>
    </xf>
    <xf numFmtId="176" fontId="8" fillId="0" borderId="13" xfId="1" applyNumberFormat="1" applyFont="1" applyFill="1" applyBorder="1" applyAlignment="1">
      <alignment horizontal="left" vertical="top" wrapText="1"/>
    </xf>
    <xf numFmtId="0" fontId="17" fillId="0" borderId="0" xfId="1" applyFont="1" applyAlignment="1">
      <alignment horizontal="right"/>
    </xf>
    <xf numFmtId="0" fontId="17" fillId="0" borderId="0" xfId="1" applyFont="1" applyAlignment="1">
      <alignment horizontal="center"/>
    </xf>
    <xf numFmtId="0" fontId="18" fillId="0" borderId="0" xfId="5" applyFont="1"/>
    <xf numFmtId="0" fontId="20" fillId="4" borderId="10" xfId="1" applyFont="1" applyFill="1" applyBorder="1" applyAlignment="1">
      <alignment horizontal="center" vertical="top" wrapText="1"/>
    </xf>
    <xf numFmtId="0" fontId="20" fillId="0" borderId="10" xfId="1" applyFont="1" applyFill="1" applyBorder="1" applyAlignment="1">
      <alignment horizontal="center" vertical="top" wrapText="1"/>
    </xf>
    <xf numFmtId="0" fontId="16" fillId="0" borderId="14" xfId="2" applyFont="1" applyFill="1" applyBorder="1" applyAlignment="1">
      <alignment horizontal="left" vertical="top" wrapText="1"/>
    </xf>
    <xf numFmtId="0" fontId="16" fillId="0" borderId="8" xfId="2" applyFont="1" applyFill="1" applyBorder="1" applyAlignment="1">
      <alignment horizontal="left" vertical="top" wrapText="1"/>
    </xf>
    <xf numFmtId="0" fontId="16" fillId="0" borderId="9" xfId="2" applyFont="1" applyFill="1" applyBorder="1" applyAlignment="1">
      <alignment horizontal="left" vertical="top" wrapText="1"/>
    </xf>
    <xf numFmtId="176" fontId="7" fillId="0" borderId="5" xfId="2" applyNumberFormat="1" applyFont="1" applyFill="1" applyBorder="1" applyAlignment="1">
      <alignment horizontal="left" vertical="center" wrapText="1"/>
    </xf>
    <xf numFmtId="176" fontId="7" fillId="0" borderId="6" xfId="2" applyNumberFormat="1" applyFont="1" applyFill="1" applyBorder="1" applyAlignment="1">
      <alignment horizontal="left" vertical="center" wrapText="1"/>
    </xf>
    <xf numFmtId="176" fontId="7" fillId="0" borderId="7" xfId="2" applyNumberFormat="1" applyFont="1" applyFill="1" applyBorder="1" applyAlignment="1">
      <alignment horizontal="left" vertical="center" wrapText="1"/>
    </xf>
    <xf numFmtId="177" fontId="12" fillId="0" borderId="0" xfId="1" applyNumberFormat="1" applyFont="1" applyBorder="1" applyAlignment="1">
      <alignment horizontal="left" vertical="center"/>
    </xf>
  </cellXfs>
  <cellStyles count="6">
    <cellStyle name="40% - Accent1 2" xfId="3"/>
    <cellStyle name="Accent1 2" xfId="2"/>
    <cellStyle name="Heading 1 2" xfId="4"/>
    <cellStyle name="Normal 2" xfId="1"/>
    <cellStyle name="一般" xfId="0" builtinId="0" customBuiltin="1"/>
    <cellStyle name="超連結" xfId="5" builtinId="8"/>
  </cellStyles>
  <dxfs count="11"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  <tableStyle name="TableStyleLight9 2" pivot="0" count="4">
      <tableStyleElement type="wholeTable" dxfId="3"/>
      <tableStyleElement type="headerRow" dxfId="2"/>
      <tableStyleElement type="totalRow" dxfId="1"/>
      <tableStyleElement type="firstColumn" dxfId="0"/>
    </tableStyle>
  </tableStyles>
  <colors>
    <mruColors>
      <color rgb="FFC17529"/>
      <color rgb="FFFDFDFD"/>
      <color rgb="FFA19574"/>
      <color rgb="FFEAE8EA"/>
      <color rgb="FFEAE8E0"/>
      <color rgb="FFA1A9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CalendarYear" max="2999" min="1900" page="10" val="2016"/>
</file>

<file path=xl/ctrlProps/ctrlProp2.xml><?xml version="1.0" encoding="utf-8"?>
<formControlPr xmlns="http://schemas.microsoft.com/office/spreadsheetml/2009/9/main" objectType="Spin" dx="16" fmlaLink="CalendarYear" max="2999" min="1900" page="10" val="2017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486558</xdr:colOff>
      <xdr:row>18</xdr:row>
      <xdr:rowOff>262491</xdr:rowOff>
    </xdr:from>
    <xdr:to>
      <xdr:col>9</xdr:col>
      <xdr:colOff>863571</xdr:colOff>
      <xdr:row>19</xdr:row>
      <xdr:rowOff>141458</xdr:rowOff>
    </xdr:to>
    <xdr:pic>
      <xdr:nvPicPr>
        <xdr:cNvPr id="29" name="Picture 28" title="裝飾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7982" y="7683131"/>
          <a:ext cx="1562101" cy="144780"/>
        </a:xfrm>
        <a:prstGeom prst="rect">
          <a:avLst/>
        </a:prstGeom>
      </xdr:spPr>
    </xdr:pic>
    <xdr:clientData/>
  </xdr:twoCellAnchor>
  <xdr:twoCellAnchor>
    <xdr:from>
      <xdr:col>8</xdr:col>
      <xdr:colOff>309025</xdr:colOff>
      <xdr:row>11</xdr:row>
      <xdr:rowOff>695146</xdr:rowOff>
    </xdr:from>
    <xdr:to>
      <xdr:col>9</xdr:col>
      <xdr:colOff>1063254</xdr:colOff>
      <xdr:row>18</xdr:row>
      <xdr:rowOff>132907</xdr:rowOff>
    </xdr:to>
    <xdr:sp macro="" textlink="">
      <xdr:nvSpPr>
        <xdr:cNvPr id="25" name="TextBox 24"/>
        <xdr:cNvSpPr txBox="1"/>
      </xdr:nvSpPr>
      <xdr:spPr>
        <a:xfrm>
          <a:off x="8870449" y="5213983"/>
          <a:ext cx="1939317" cy="2339564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zh-TW" altLang="en-US" sz="1200" b="0" i="0" u="none" strike="noStrike" kern="0" cap="none" spc="0" normalizeH="0" baseline="0" noProof="0">
              <a:ln>
                <a:noFill/>
              </a:ln>
              <a:solidFill>
                <a:srgbClr val="A19574"/>
              </a:solidFill>
              <a:effectLst/>
              <a:uLnTx/>
              <a:uFillTx/>
              <a:latin typeface="Microsoft jhenghei" pitchFamily="34" charset="-120"/>
              <a:ea typeface="Microsoft jhenghei" pitchFamily="34" charset="-120"/>
              <a:cs typeface="+mn-cs"/>
            </a:rPr>
            <a:t>省</a:t>
          </a:r>
          <a:r>
            <a:rPr kumimoji="0" lang="en-US" altLang="zh-TW" sz="1200" b="0" i="0" u="none" strike="noStrike" kern="0" cap="none" spc="0" normalizeH="0" baseline="0" noProof="0">
              <a:ln>
                <a:noFill/>
              </a:ln>
              <a:solidFill>
                <a:srgbClr val="A19574"/>
              </a:solidFill>
              <a:effectLst/>
              <a:uLnTx/>
              <a:uFillTx/>
              <a:latin typeface="Microsoft jhenghei" pitchFamily="34" charset="-120"/>
              <a:ea typeface="Microsoft jhenghei" pitchFamily="34" charset="-120"/>
              <a:cs typeface="+mn-cs"/>
            </a:rPr>
            <a:t>/</a:t>
          </a:r>
          <a:r>
            <a:rPr kumimoji="0" lang="zh-TW" altLang="en-US" sz="1200" b="0" i="0" u="none" strike="noStrike" kern="0" cap="none" spc="0" normalizeH="0" baseline="0" noProof="0">
              <a:ln>
                <a:noFill/>
              </a:ln>
              <a:solidFill>
                <a:srgbClr val="A19574"/>
              </a:solidFill>
              <a:effectLst/>
              <a:uLnTx/>
              <a:uFillTx/>
              <a:latin typeface="Microsoft jhenghei" pitchFamily="34" charset="-120"/>
              <a:ea typeface="Microsoft jhenghei" pitchFamily="34" charset="-120"/>
              <a:cs typeface="+mn-cs"/>
            </a:rPr>
            <a:t>市 郵遞區號</a:t>
          </a:r>
          <a:endParaRPr kumimoji="0" lang="en-US" altLang="zh-TW" sz="1200" b="0" i="0" u="none" strike="noStrike" kern="0" cap="none" spc="0" normalizeH="0" baseline="0" noProof="0">
            <a:ln>
              <a:noFill/>
            </a:ln>
            <a:solidFill>
              <a:srgbClr val="A19574"/>
            </a:solidFill>
            <a:effectLst/>
            <a:uLnTx/>
            <a:uFillTx/>
            <a:latin typeface="Microsoft jhenghei" pitchFamily="34" charset="-120"/>
            <a:ea typeface="Microsoft jhenghei" pitchFamily="34" charset="-120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zh-TW" altLang="en-US" sz="1200" b="0" i="0" u="none" strike="noStrike" kern="0" cap="none" spc="0" normalizeH="0" baseline="0" noProof="0">
              <a:ln>
                <a:noFill/>
              </a:ln>
              <a:solidFill>
                <a:srgbClr val="A19574"/>
              </a:solidFill>
              <a:effectLst/>
              <a:uLnTx/>
              <a:uFillTx/>
              <a:latin typeface="Microsoft jhenghei" pitchFamily="34" charset="-120"/>
              <a:ea typeface="Microsoft jhenghei" pitchFamily="34" charset="-120"/>
              <a:cs typeface="+mn-cs"/>
            </a:rPr>
            <a:t>在這裡填入您的地址</a:t>
          </a:r>
          <a:endParaRPr kumimoji="0" lang="en-US" altLang="zh-TW" sz="1200" b="0" i="0" u="none" strike="noStrike" kern="0" cap="none" spc="0" normalizeH="0" baseline="0" noProof="0">
            <a:ln>
              <a:noFill/>
            </a:ln>
            <a:solidFill>
              <a:srgbClr val="A19574"/>
            </a:solidFill>
            <a:effectLst/>
            <a:uLnTx/>
            <a:uFillTx/>
            <a:latin typeface="Microsoft jhenghei" pitchFamily="34" charset="-120"/>
            <a:ea typeface="Microsoft jhenghei" pitchFamily="34" charset="-120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rgbClr val="A19574"/>
            </a:solidFill>
            <a:effectLst/>
            <a:uLnTx/>
            <a:uFillTx/>
            <a:latin typeface="Microsoft jhenghei" pitchFamily="34" charset="-120"/>
            <a:ea typeface="Microsoft jhenghei" pitchFamily="34" charset="-120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zh-TW" altLang="en-US" sz="1200" b="0" i="0" u="none" strike="noStrike" kern="0" cap="none" spc="0" normalizeH="0" baseline="0" noProof="0">
              <a:ln>
                <a:noFill/>
              </a:ln>
              <a:solidFill>
                <a:srgbClr val="A19574"/>
              </a:solidFill>
              <a:effectLst/>
              <a:uLnTx/>
              <a:uFillTx/>
              <a:latin typeface="Microsoft jhenghei" pitchFamily="34" charset="-120"/>
              <a:ea typeface="Microsoft jhenghei" pitchFamily="34" charset="-120"/>
              <a:cs typeface="+mn-cs"/>
            </a:rPr>
            <a:t>電話：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A19574"/>
              </a:solidFill>
              <a:effectLst/>
              <a:uLnTx/>
              <a:uFillTx/>
              <a:latin typeface="Microsoft jhenghei" pitchFamily="34" charset="-120"/>
              <a:ea typeface="Microsoft jhenghei" pitchFamily="34" charset="-120"/>
              <a:cs typeface="+mn-cs"/>
            </a:rPr>
            <a:t>555.555.5555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zh-TW" altLang="en-US" sz="1200" b="0" i="0" u="none" strike="noStrike" kern="0" cap="none" spc="0" normalizeH="0" baseline="0" noProof="0">
              <a:ln>
                <a:noFill/>
              </a:ln>
              <a:solidFill>
                <a:srgbClr val="A19574"/>
              </a:solidFill>
              <a:effectLst/>
              <a:uLnTx/>
              <a:uFillTx/>
              <a:latin typeface="Microsoft jhenghei" pitchFamily="34" charset="-120"/>
              <a:ea typeface="Microsoft jhenghei" pitchFamily="34" charset="-120"/>
              <a:cs typeface="+mn-cs"/>
            </a:rPr>
            <a:t>傳真：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A19574"/>
              </a:solidFill>
              <a:effectLst/>
              <a:uLnTx/>
              <a:uFillTx/>
              <a:latin typeface="Microsoft jhenghei" pitchFamily="34" charset="-120"/>
              <a:ea typeface="Microsoft jhenghei" pitchFamily="34" charset="-120"/>
              <a:cs typeface="+mn-cs"/>
            </a:rPr>
            <a:t>555.555.5555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icrosoft jhenghei" pitchFamily="34" charset="-120"/>
            <a:ea typeface="Microsoft jhenghei" pitchFamily="34" charset="-120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C17529"/>
              </a:solidFill>
              <a:effectLst/>
              <a:uLnTx/>
              <a:uFillTx/>
              <a:latin typeface="Microsoft jhenghei" pitchFamily="34" charset="-120"/>
              <a:ea typeface="Microsoft jhenghei" pitchFamily="34" charset="-120"/>
              <a:cs typeface="+mn-cs"/>
            </a:rPr>
            <a:t>info@example.com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C17529"/>
              </a:solidFill>
              <a:effectLst/>
              <a:uLnTx/>
              <a:uFillTx/>
              <a:latin typeface="Microsoft jhenghei" pitchFamily="34" charset="-120"/>
              <a:ea typeface="Microsoft jhenghei" pitchFamily="34" charset="-120"/>
              <a:cs typeface="+mn-cs"/>
            </a:rPr>
            <a:t>www.example.com</a:t>
          </a:r>
        </a:p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952500</xdr:colOff>
          <xdr:row>1</xdr:row>
          <xdr:rowOff>45720</xdr:rowOff>
        </xdr:from>
        <xdr:to>
          <xdr:col>12</xdr:col>
          <xdr:colOff>83820</xdr:colOff>
          <xdr:row>2</xdr:row>
          <xdr:rowOff>7620</xdr:rowOff>
        </xdr:to>
        <xdr:sp macro="" textlink="">
          <xdr:nvSpPr>
            <xdr:cNvPr id="1026" name="Spinner 2" descr="微調按鈕控制項。使用微調按鈕變更行事曆年度，或在儲存格 L2 中輸入想要的年度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441862</xdr:colOff>
      <xdr:row>18</xdr:row>
      <xdr:rowOff>129585</xdr:rowOff>
    </xdr:from>
    <xdr:to>
      <xdr:col>9</xdr:col>
      <xdr:colOff>818875</xdr:colOff>
      <xdr:row>19</xdr:row>
      <xdr:rowOff>8552</xdr:rowOff>
    </xdr:to>
    <xdr:pic>
      <xdr:nvPicPr>
        <xdr:cNvPr id="5" name="Picture 4" title="裝飾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3286" y="7550225"/>
          <a:ext cx="1562101" cy="144780"/>
        </a:xfrm>
        <a:prstGeom prst="rect">
          <a:avLst/>
        </a:prstGeom>
      </xdr:spPr>
    </xdr:pic>
    <xdr:clientData/>
  </xdr:twoCellAnchor>
  <xdr:twoCellAnchor>
    <xdr:from>
      <xdr:col>8</xdr:col>
      <xdr:colOff>309026</xdr:colOff>
      <xdr:row>11</xdr:row>
      <xdr:rowOff>695147</xdr:rowOff>
    </xdr:from>
    <xdr:to>
      <xdr:col>9</xdr:col>
      <xdr:colOff>1062467</xdr:colOff>
      <xdr:row>18</xdr:row>
      <xdr:rowOff>22152</xdr:rowOff>
    </xdr:to>
    <xdr:sp macro="" textlink="">
      <xdr:nvSpPr>
        <xdr:cNvPr id="7" name="TextBox 6"/>
        <xdr:cNvSpPr txBox="1"/>
      </xdr:nvSpPr>
      <xdr:spPr>
        <a:xfrm>
          <a:off x="8870450" y="5213984"/>
          <a:ext cx="1938529" cy="2228808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zh-TW" altLang="en-US" sz="1200" b="0" i="0" u="none" strike="noStrike" kern="0" cap="none" spc="0" normalizeH="0" baseline="0" noProof="0">
              <a:ln>
                <a:noFill/>
              </a:ln>
              <a:solidFill>
                <a:srgbClr val="A19574"/>
              </a:solidFill>
              <a:effectLst/>
              <a:uLnTx/>
              <a:uFillTx/>
              <a:latin typeface="Microsoft jhenghei" pitchFamily="34" charset="-120"/>
              <a:ea typeface="Microsoft jhenghei" pitchFamily="34" charset="-120"/>
              <a:cs typeface="+mn-cs"/>
            </a:rPr>
            <a:t>省</a:t>
          </a:r>
          <a:r>
            <a:rPr kumimoji="0" lang="en-US" altLang="zh-TW" sz="1200" b="0" i="0" u="none" strike="noStrike" kern="0" cap="none" spc="0" normalizeH="0" baseline="0" noProof="0">
              <a:ln>
                <a:noFill/>
              </a:ln>
              <a:solidFill>
                <a:srgbClr val="A19574"/>
              </a:solidFill>
              <a:effectLst/>
              <a:uLnTx/>
              <a:uFillTx/>
              <a:latin typeface="Microsoft jhenghei" pitchFamily="34" charset="-120"/>
              <a:ea typeface="Microsoft jhenghei" pitchFamily="34" charset="-120"/>
              <a:cs typeface="+mn-cs"/>
            </a:rPr>
            <a:t>/</a:t>
          </a:r>
          <a:r>
            <a:rPr kumimoji="0" lang="zh-TW" altLang="en-US" sz="1200" b="0" i="0" u="none" strike="noStrike" kern="0" cap="none" spc="0" normalizeH="0" baseline="0" noProof="0">
              <a:ln>
                <a:noFill/>
              </a:ln>
              <a:solidFill>
                <a:srgbClr val="A19574"/>
              </a:solidFill>
              <a:effectLst/>
              <a:uLnTx/>
              <a:uFillTx/>
              <a:latin typeface="Microsoft jhenghei" pitchFamily="34" charset="-120"/>
              <a:ea typeface="Microsoft jhenghei" pitchFamily="34" charset="-120"/>
              <a:cs typeface="+mn-cs"/>
            </a:rPr>
            <a:t>市 郵遞區號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zh-TW" altLang="en-US" sz="1200" b="0" i="0" u="none" strike="noStrike" kern="0" cap="none" spc="0" normalizeH="0" baseline="0" noProof="0">
              <a:ln>
                <a:noFill/>
              </a:ln>
              <a:solidFill>
                <a:srgbClr val="A19574"/>
              </a:solidFill>
              <a:effectLst/>
              <a:uLnTx/>
              <a:uFillTx/>
              <a:latin typeface="Microsoft jhenghei" pitchFamily="34" charset="-120"/>
              <a:ea typeface="Microsoft jhenghei" pitchFamily="34" charset="-120"/>
              <a:cs typeface="+mn-cs"/>
            </a:rPr>
            <a:t>在這裡填入您的地址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200" b="0" i="0" u="none" strike="noStrike" kern="0" cap="none" spc="0" normalizeH="0" baseline="0" noProof="0">
            <a:ln>
              <a:noFill/>
            </a:ln>
            <a:solidFill>
              <a:srgbClr val="A19574"/>
            </a:solidFill>
            <a:effectLst/>
            <a:uLnTx/>
            <a:uFillTx/>
            <a:latin typeface="Microsoft jhenghei" pitchFamily="34" charset="-120"/>
            <a:ea typeface="Microsoft jhenghei" pitchFamily="34" charset="-120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zh-TW" altLang="en-US" sz="1200" b="0" i="0" u="none" strike="noStrike" kern="0" cap="none" spc="0" normalizeH="0" baseline="0" noProof="0">
              <a:ln>
                <a:noFill/>
              </a:ln>
              <a:solidFill>
                <a:srgbClr val="A19574"/>
              </a:solidFill>
              <a:effectLst/>
              <a:uLnTx/>
              <a:uFillTx/>
              <a:latin typeface="Microsoft jhenghei" pitchFamily="34" charset="-120"/>
              <a:ea typeface="Microsoft jhenghei" pitchFamily="34" charset="-120"/>
              <a:cs typeface="+mn-cs"/>
            </a:rPr>
            <a:t>電話：</a:t>
          </a:r>
          <a:r>
            <a:rPr kumimoji="0" lang="en-US" altLang="zh-TW" sz="1200" b="0" i="0" u="none" strike="noStrike" kern="0" cap="none" spc="0" normalizeH="0" baseline="0" noProof="0">
              <a:ln>
                <a:noFill/>
              </a:ln>
              <a:solidFill>
                <a:srgbClr val="A19574"/>
              </a:solidFill>
              <a:effectLst/>
              <a:uLnTx/>
              <a:uFillTx/>
              <a:latin typeface="Microsoft jhenghei" pitchFamily="34" charset="-120"/>
              <a:ea typeface="Microsoft jhenghei" pitchFamily="34" charset="-120"/>
              <a:cs typeface="+mn-cs"/>
            </a:rPr>
            <a:t>555.555.5555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zh-TW" altLang="en-US" sz="1200" b="0" i="0" u="none" strike="noStrike" kern="0" cap="none" spc="0" normalizeH="0" baseline="0" noProof="0">
              <a:ln>
                <a:noFill/>
              </a:ln>
              <a:solidFill>
                <a:srgbClr val="A19574"/>
              </a:solidFill>
              <a:effectLst/>
              <a:uLnTx/>
              <a:uFillTx/>
              <a:latin typeface="Microsoft jhenghei" pitchFamily="34" charset="-120"/>
              <a:ea typeface="Microsoft jhenghei" pitchFamily="34" charset="-120"/>
              <a:cs typeface="+mn-cs"/>
            </a:rPr>
            <a:t>傳真：</a:t>
          </a:r>
          <a:r>
            <a:rPr kumimoji="0" lang="en-US" altLang="zh-TW" sz="1200" b="0" i="0" u="none" strike="noStrike" kern="0" cap="none" spc="0" normalizeH="0" baseline="0" noProof="0">
              <a:ln>
                <a:noFill/>
              </a:ln>
              <a:solidFill>
                <a:srgbClr val="A19574"/>
              </a:solidFill>
              <a:effectLst/>
              <a:uLnTx/>
              <a:uFillTx/>
              <a:latin typeface="Microsoft jhenghei" pitchFamily="34" charset="-120"/>
              <a:ea typeface="Microsoft jhenghei" pitchFamily="34" charset="-120"/>
              <a:cs typeface="+mn-cs"/>
            </a:rPr>
            <a:t>555.555.5555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icrosoft jhenghei" pitchFamily="34" charset="-120"/>
            <a:ea typeface="Microsoft jhenghei" pitchFamily="34" charset="-120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C17529"/>
              </a:solidFill>
              <a:effectLst/>
              <a:uLnTx/>
              <a:uFillTx/>
              <a:latin typeface="Microsoft jhenghei" pitchFamily="34" charset="-120"/>
              <a:ea typeface="Microsoft jhenghei" pitchFamily="34" charset="-120"/>
              <a:cs typeface="+mn-cs"/>
            </a:rPr>
            <a:t>info@example.com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C17529"/>
              </a:solidFill>
              <a:effectLst/>
              <a:uLnTx/>
              <a:uFillTx/>
              <a:latin typeface="Microsoft jhenghei" pitchFamily="34" charset="-120"/>
              <a:ea typeface="Microsoft jhenghei" pitchFamily="34" charset="-120"/>
              <a:cs typeface="+mn-cs"/>
            </a:rPr>
            <a:t>www.example.com</a:t>
          </a:r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644387</xdr:colOff>
      <xdr:row>31</xdr:row>
      <xdr:rowOff>8491</xdr:rowOff>
    </xdr:from>
    <xdr:to>
      <xdr:col>4</xdr:col>
      <xdr:colOff>1021401</xdr:colOff>
      <xdr:row>31</xdr:row>
      <xdr:rowOff>154158</xdr:rowOff>
    </xdr:to>
    <xdr:pic>
      <xdr:nvPicPr>
        <xdr:cNvPr id="5" name="Picture 4" title="裝飾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7473" y="9936262"/>
          <a:ext cx="1530899" cy="145667"/>
        </a:xfrm>
        <a:prstGeom prst="rect">
          <a:avLst/>
        </a:prstGeom>
      </xdr:spPr>
    </xdr:pic>
    <xdr:clientData/>
  </xdr:twoCellAnchor>
  <xdr:twoCellAnchor editAs="oneCell">
    <xdr:from>
      <xdr:col>7</xdr:col>
      <xdr:colOff>152398</xdr:colOff>
      <xdr:row>14</xdr:row>
      <xdr:rowOff>28951</xdr:rowOff>
    </xdr:from>
    <xdr:to>
      <xdr:col>7</xdr:col>
      <xdr:colOff>1129303</xdr:colOff>
      <xdr:row>15</xdr:row>
      <xdr:rowOff>680389</xdr:rowOff>
    </xdr:to>
    <xdr:pic>
      <xdr:nvPicPr>
        <xdr:cNvPr id="9" name="圖片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7227" y="6114065"/>
          <a:ext cx="976905" cy="847381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163286</xdr:rowOff>
    </xdr:from>
    <xdr:to>
      <xdr:col>3</xdr:col>
      <xdr:colOff>544286</xdr:colOff>
      <xdr:row>35</xdr:row>
      <xdr:rowOff>76201</xdr:rowOff>
    </xdr:to>
    <xdr:sp macro="" textlink="">
      <xdr:nvSpPr>
        <xdr:cNvPr id="11" name="文字方塊 10"/>
        <xdr:cNvSpPr txBox="1"/>
      </xdr:nvSpPr>
      <xdr:spPr>
        <a:xfrm>
          <a:off x="65314" y="7358743"/>
          <a:ext cx="2852058" cy="33854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社長 彭瀞惠</a:t>
          </a:r>
          <a:endParaRPr lang="zh-TW" altLang="zh-TW">
            <a:effectLst/>
          </a:endParaRPr>
        </a:p>
        <a:p>
          <a:pPr eaLnBrk="1" fontAlgn="auto" latinLnBrk="0" hangingPunct="1"/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HE3C</a:t>
          </a:r>
          <a:r>
            <a:rPr lang="zh-TW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1103300169</a:t>
          </a:r>
          <a:endParaRPr lang="zh-TW" altLang="zh-TW">
            <a:effectLst/>
          </a:endParaRPr>
        </a:p>
        <a:p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G-mail:</a:t>
          </a:r>
          <a:r>
            <a:rPr lang="en-US" altLang="zh-TW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</a:t>
          </a:r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ennifer50433@gmail.com</a:t>
          </a:r>
          <a:endParaRPr lang="zh-TW" altLang="zh-TW">
            <a:effectLst/>
          </a:endParaRPr>
        </a:p>
        <a:p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Phonenumber:</a:t>
          </a:r>
          <a:r>
            <a:rPr lang="en-US" altLang="zh-TW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0960651468</a:t>
          </a:r>
        </a:p>
        <a:p>
          <a:endParaRPr lang="zh-TW" altLang="zh-TW">
            <a:effectLst/>
          </a:endParaRPr>
        </a:p>
        <a:p>
          <a:r>
            <a:rPr lang="zh-TW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副社長</a:t>
          </a:r>
          <a:r>
            <a:rPr lang="zh-TW" altLang="zh-TW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zh-TW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簡良汝</a:t>
          </a:r>
          <a:endParaRPr lang="en-US" altLang="zh-TW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zh-TW" altLang="zh-TW">
            <a:effectLst/>
          </a:endParaRPr>
        </a:p>
        <a:p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G-mail:</a:t>
          </a:r>
          <a:r>
            <a:rPr lang="en-US" altLang="zh-TW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z7887387tw@gmail.com</a:t>
          </a:r>
          <a:endParaRPr lang="zh-TW" altLang="zh-TW">
            <a:effectLst/>
          </a:endParaRPr>
        </a:p>
        <a:p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Phonenumber: 0983853800</a:t>
          </a:r>
        </a:p>
        <a:p>
          <a:endParaRPr lang="zh-TW" altLang="zh-TW">
            <a:effectLst/>
          </a:endParaRPr>
        </a:p>
        <a:p>
          <a:r>
            <a:rPr lang="zh-TW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公關 黃心瀅 </a:t>
          </a:r>
          <a:endParaRPr lang="zh-TW" altLang="zh-TW">
            <a:effectLst/>
          </a:endParaRPr>
        </a:p>
        <a:p>
          <a:pPr eaLnBrk="1" fontAlgn="auto" latinLnBrk="0" hangingPunct="1"/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HE3C 1103300146 </a:t>
          </a:r>
          <a:endParaRPr lang="zh-TW" altLang="zh-TW">
            <a:effectLst/>
          </a:endParaRPr>
        </a:p>
        <a:p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G-mail:</a:t>
          </a:r>
          <a:r>
            <a:rPr lang="en-US" altLang="zh-TW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teresa1018@gmail.com</a:t>
          </a:r>
          <a:endParaRPr lang="zh-TW" altLang="zh-TW">
            <a:effectLst/>
          </a:endParaRPr>
        </a:p>
        <a:p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Phonenumber: 0974189955</a:t>
          </a:r>
        </a:p>
        <a:p>
          <a:endParaRPr lang="zh-TW" altLang="zh-TW">
            <a:effectLst/>
          </a:endParaRPr>
        </a:p>
        <a:p>
          <a:r>
            <a:rPr lang="zh-TW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財務 王予悠</a:t>
          </a:r>
          <a:endParaRPr lang="zh-TW" altLang="zh-TW">
            <a:effectLst/>
          </a:endParaRPr>
        </a:p>
        <a:p>
          <a:pPr eaLnBrk="1" fontAlgn="auto" latinLnBrk="0" hangingPunct="1"/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HE2C</a:t>
          </a:r>
          <a:r>
            <a:rPr lang="en-US" altLang="zh-TW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1104300159</a:t>
          </a:r>
          <a:endParaRPr lang="zh-TW" altLang="zh-TW">
            <a:effectLst/>
          </a:endParaRPr>
        </a:p>
        <a:p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</a:t>
          </a:r>
          <a:r>
            <a:rPr lang="en-US" altLang="zh-TW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gagawang2000@yahoo.com.tw</a:t>
          </a:r>
          <a:endParaRPr lang="zh-TW" altLang="zh-TW">
            <a:effectLst/>
          </a:endParaRPr>
        </a:p>
        <a:p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Phonenumber: 0963499944</a:t>
          </a:r>
        </a:p>
        <a:p>
          <a:endParaRPr lang="zh-TW" altLang="zh-TW">
            <a:effectLst/>
          </a:endParaRPr>
        </a:p>
      </xdr:txBody>
    </xdr:sp>
    <xdr:clientData/>
  </xdr:twoCellAnchor>
  <xdr:twoCellAnchor>
    <xdr:from>
      <xdr:col>3</xdr:col>
      <xdr:colOff>402772</xdr:colOff>
      <xdr:row>17</xdr:row>
      <xdr:rowOff>152400</xdr:rowOff>
    </xdr:from>
    <xdr:to>
      <xdr:col>6</xdr:col>
      <xdr:colOff>631372</xdr:colOff>
      <xdr:row>31</xdr:row>
      <xdr:rowOff>87086</xdr:rowOff>
    </xdr:to>
    <xdr:sp macro="" textlink="">
      <xdr:nvSpPr>
        <xdr:cNvPr id="12" name="文字方塊 11"/>
        <xdr:cNvSpPr txBox="1"/>
      </xdr:nvSpPr>
      <xdr:spPr>
        <a:xfrm>
          <a:off x="2775858" y="7347857"/>
          <a:ext cx="3690257" cy="266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活動 陳宜伶</a:t>
          </a:r>
          <a:endParaRPr lang="zh-TW" altLang="zh-TW">
            <a:effectLst/>
          </a:endParaRPr>
        </a:p>
        <a:p>
          <a:pPr eaLnBrk="1" fontAlgn="auto" latinLnBrk="0" hangingPunct="1"/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XG2A</a:t>
          </a:r>
          <a:r>
            <a:rPr lang="en-US" altLang="zh-TW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1104302036</a:t>
          </a:r>
          <a:endParaRPr lang="zh-TW" altLang="zh-TW">
            <a:effectLst/>
          </a:endParaRPr>
        </a:p>
        <a:p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G-mail:</a:t>
          </a:r>
          <a:r>
            <a:rPr lang="en-US" altLang="zh-TW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gowithout7@gmail.com</a:t>
          </a:r>
          <a:endParaRPr lang="zh-TW" altLang="zh-TW">
            <a:effectLst/>
          </a:endParaRPr>
        </a:p>
        <a:p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Phonenumber: 0937159410</a:t>
          </a:r>
          <a:endParaRPr lang="zh-TW" altLang="zh-TW">
            <a:effectLst/>
          </a:endParaRPr>
        </a:p>
        <a:p>
          <a:endParaRPr lang="en-US" altLang="zh-TW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zh-TW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文書 楊玉煦</a:t>
          </a:r>
          <a:endParaRPr lang="zh-TW" altLang="zh-TW">
            <a:effectLst/>
          </a:endParaRPr>
        </a:p>
        <a:p>
          <a:pPr eaLnBrk="1" fontAlgn="auto" latinLnBrk="0" hangingPunct="1"/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HE3C</a:t>
          </a:r>
          <a:r>
            <a:rPr lang="en-US" altLang="zh-TW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1103300137</a:t>
          </a:r>
          <a:endParaRPr lang="zh-TW" altLang="zh-TW">
            <a:effectLst/>
          </a:endParaRPr>
        </a:p>
        <a:p>
          <a:pPr eaLnBrk="1" fontAlgn="auto" latinLnBrk="0" hangingPunct="1"/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</a:t>
          </a:r>
          <a:r>
            <a:rPr lang="en-US" altLang="zh-TW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sunny.ycs21@gmail.com</a:t>
          </a:r>
          <a:endParaRPr lang="zh-TW" altLang="zh-TW">
            <a:effectLst/>
          </a:endParaRPr>
        </a:p>
        <a:p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Phonenumber: 0988278630</a:t>
          </a:r>
        </a:p>
        <a:p>
          <a:endParaRPr lang="zh-TW" altLang="zh-TW">
            <a:effectLst/>
          </a:endParaRPr>
        </a:p>
        <a:p>
          <a:r>
            <a:rPr lang="zh-TW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副文書 許惠淳</a:t>
          </a:r>
          <a:endParaRPr lang="zh-TW" altLang="zh-TW">
            <a:effectLst/>
          </a:endParaRPr>
        </a:p>
        <a:p>
          <a:pPr eaLnBrk="1" fontAlgn="auto" latinLnBrk="0" hangingPunct="1"/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HE3C</a:t>
          </a:r>
          <a:r>
            <a:rPr lang="en-US" altLang="zh-TW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1103300164</a:t>
          </a:r>
          <a:endParaRPr lang="zh-TW" altLang="zh-TW">
            <a:effectLst/>
          </a:endParaRPr>
        </a:p>
        <a:p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G-mail:</a:t>
          </a:r>
          <a:r>
            <a:rPr lang="en-US" altLang="zh-TW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20568345dd@gmail.com</a:t>
          </a:r>
          <a:endParaRPr lang="zh-TW" altLang="zh-TW">
            <a:effectLst/>
          </a:endParaRPr>
        </a:p>
        <a:p>
          <a:r>
            <a:rPr lang="en-US" altLang="zh-TW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Phonenumber: 0929270609</a:t>
          </a:r>
          <a:endParaRPr lang="zh-TW" altLang="zh-TW">
            <a:effectLst/>
          </a:endParaRPr>
        </a:p>
        <a:p>
          <a:endParaRPr lang="zh-TW" altLang="en-US" sz="1100"/>
        </a:p>
      </xdr:txBody>
    </xdr:sp>
    <xdr:clientData/>
  </xdr:twoCellAnchor>
  <xdr:twoCellAnchor>
    <xdr:from>
      <xdr:col>1</xdr:col>
      <xdr:colOff>228597</xdr:colOff>
      <xdr:row>16</xdr:row>
      <xdr:rowOff>119743</xdr:rowOff>
    </xdr:from>
    <xdr:to>
      <xdr:col>2</xdr:col>
      <xdr:colOff>605610</xdr:colOff>
      <xdr:row>17</xdr:row>
      <xdr:rowOff>47696</xdr:rowOff>
    </xdr:to>
    <xdr:pic>
      <xdr:nvPicPr>
        <xdr:cNvPr id="13" name="Picture 4" title="裝飾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911" y="7097486"/>
          <a:ext cx="1530899" cy="1456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14</xdr:row>
      <xdr:rowOff>38100</xdr:rowOff>
    </xdr:from>
    <xdr:to>
      <xdr:col>7</xdr:col>
      <xdr:colOff>1118320</xdr:colOff>
      <xdr:row>15</xdr:row>
      <xdr:rowOff>695017</xdr:rowOff>
    </xdr:to>
    <xdr:pic>
      <xdr:nvPicPr>
        <xdr:cNvPr id="10" name="圖片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2350" y="6134100"/>
          <a:ext cx="975445" cy="8474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14</xdr:row>
      <xdr:rowOff>28575</xdr:rowOff>
    </xdr:from>
    <xdr:to>
      <xdr:col>8</xdr:col>
      <xdr:colOff>3895</xdr:colOff>
      <xdr:row>15</xdr:row>
      <xdr:rowOff>685492</xdr:rowOff>
    </xdr:to>
    <xdr:pic>
      <xdr:nvPicPr>
        <xdr:cNvPr id="9" name="圖片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9975" y="6124575"/>
          <a:ext cx="975445" cy="8474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14</xdr:row>
      <xdr:rowOff>28575</xdr:rowOff>
    </xdr:from>
    <xdr:to>
      <xdr:col>7</xdr:col>
      <xdr:colOff>1156420</xdr:colOff>
      <xdr:row>15</xdr:row>
      <xdr:rowOff>685492</xdr:rowOff>
    </xdr:to>
    <xdr:pic>
      <xdr:nvPicPr>
        <xdr:cNvPr id="10" name="圖片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0450" y="6124575"/>
          <a:ext cx="975445" cy="84741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952500</xdr:colOff>
          <xdr:row>1</xdr:row>
          <xdr:rowOff>45720</xdr:rowOff>
        </xdr:from>
        <xdr:to>
          <xdr:col>12</xdr:col>
          <xdr:colOff>83820</xdr:colOff>
          <xdr:row>2</xdr:row>
          <xdr:rowOff>7620</xdr:rowOff>
        </xdr:to>
        <xdr:sp macro="" textlink="">
          <xdr:nvSpPr>
            <xdr:cNvPr id="13313" name="Spinner 1" descr="微調按鈕控制項。使用微調按鈕變更行事曆年度，或在儲存格 L2 中輸入想要的年度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7</xdr:col>
      <xdr:colOff>161925</xdr:colOff>
      <xdr:row>14</xdr:row>
      <xdr:rowOff>19050</xdr:rowOff>
    </xdr:from>
    <xdr:to>
      <xdr:col>7</xdr:col>
      <xdr:colOff>1137370</xdr:colOff>
      <xdr:row>15</xdr:row>
      <xdr:rowOff>675967</xdr:rowOff>
    </xdr:to>
    <xdr:pic>
      <xdr:nvPicPr>
        <xdr:cNvPr id="5" name="圖片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1400" y="6115050"/>
          <a:ext cx="975445" cy="847417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Custom 1">
      <a:majorFont>
        <a:latin typeface="Georgia"/>
        <a:ea typeface=""/>
        <a:cs typeface=""/>
      </a:majorFont>
      <a:minorFont>
        <a:latin typeface="Cambria"/>
        <a:ea typeface=""/>
        <a:cs typeface="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1">
    <pageSetUpPr fitToPage="1"/>
  </sheetPr>
  <dimension ref="A1:R20"/>
  <sheetViews>
    <sheetView showGridLines="0" zoomScale="80" zoomScaleNormal="80" workbookViewId="0">
      <selection activeCell="L2" sqref="L2"/>
    </sheetView>
  </sheetViews>
  <sheetFormatPr defaultColWidth="6.6328125" defaultRowHeight="14.4"/>
  <cols>
    <col min="1" max="1" width="3.08984375" style="4" customWidth="1"/>
    <col min="2" max="9" width="13.81640625" style="4" customWidth="1"/>
    <col min="10" max="10" width="12.6328125" style="4" customWidth="1"/>
    <col min="11" max="11" width="2.08984375" style="4" customWidth="1"/>
    <col min="12" max="12" width="11.81640625" style="4" customWidth="1"/>
    <col min="13" max="13" width="11.36328125" style="4" customWidth="1"/>
    <col min="14" max="16384" width="6.6328125" style="4"/>
  </cols>
  <sheetData>
    <row r="1" spans="1:18" ht="15.6">
      <c r="A1" s="3"/>
      <c r="L1" s="2" t="s">
        <v>7</v>
      </c>
    </row>
    <row r="2" spans="1:18" ht="26.25" customHeight="1">
      <c r="A2" s="3"/>
      <c r="L2" s="5">
        <v>2016</v>
      </c>
    </row>
    <row r="3" spans="1:18" ht="57.75" customHeight="1">
      <c r="A3" s="3"/>
      <c r="B3" s="31" t="str">
        <f>UPPER(TEXT(DATE(CalendarYear,1,1),"[$-404]mmmm yyyy"))</f>
        <v>一月 2016</v>
      </c>
      <c r="C3" s="31"/>
      <c r="D3" s="31"/>
      <c r="E3" s="31"/>
      <c r="F3" s="31"/>
    </row>
    <row r="4" spans="1:18" s="3" customFormat="1" ht="29.25" customHeight="1">
      <c r="B4" s="1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7" t="s">
        <v>6</v>
      </c>
      <c r="I4" s="4"/>
      <c r="J4" s="4"/>
      <c r="L4" s="4"/>
      <c r="M4" s="8"/>
      <c r="Q4" s="4"/>
      <c r="R4" s="4"/>
    </row>
    <row r="5" spans="1:18" s="3" customFormat="1" ht="15" customHeight="1">
      <c r="B5" s="9" t="str">
        <f>IF(DAY(JanSun1)=1,"",IF(AND(YEAR(JanSun1+1)=CalendarYear,MONTH(JanSun1+1)=1),JanSun1+1,""))</f>
        <v/>
      </c>
      <c r="C5" s="9" t="str">
        <f>IF(DAY(JanSun1)=1,"",IF(AND(YEAR(JanSun1+2)=CalendarYear,MONTH(JanSun1+2)=1),JanSun1+2,""))</f>
        <v/>
      </c>
      <c r="D5" s="9" t="str">
        <f>IF(DAY(JanSun1)=1,"",IF(AND(YEAR(JanSun1+3)=CalendarYear,MONTH(JanSun1+3)=1),JanSun1+3,""))</f>
        <v/>
      </c>
      <c r="E5" s="9" t="str">
        <f>IF(DAY(JanSun1)=1,"",IF(AND(YEAR(JanSun1+4)=CalendarYear,MONTH(JanSun1+4)=1),JanSun1+4,""))</f>
        <v/>
      </c>
      <c r="F5" s="9">
        <f>IF(DAY(JanSun1)=1,"",IF(AND(YEAR(JanSun1+5)=CalendarYear,MONTH(JanSun1+5)=1),JanSun1+5,""))</f>
        <v>42370</v>
      </c>
      <c r="G5" s="9">
        <f>IF(DAY(JanSun1)=1,"",IF(AND(YEAR(JanSun1+6)=CalendarYear,MONTH(JanSun1+6)=1),JanSun1+6,""))</f>
        <v>42371</v>
      </c>
      <c r="H5" s="9">
        <f>IF(DAY(JanSun1)=1,IF(AND(YEAR(JanSun1)=CalendarYear,MONTH(JanSun1)=1),JanSun1,""),IF(AND(YEAR(JanSun1+7)=CalendarYear,MONTH(JanSun1+7)=1),JanSun1+7,""))</f>
        <v>42372</v>
      </c>
      <c r="I5" s="10"/>
      <c r="K5" s="4"/>
      <c r="L5" s="4"/>
      <c r="M5" s="4"/>
      <c r="Q5" s="11"/>
      <c r="R5" s="4"/>
    </row>
    <row r="6" spans="1:18" s="11" customFormat="1" ht="55.5" customHeight="1">
      <c r="A6" s="3"/>
      <c r="B6" s="12"/>
      <c r="C6" s="12"/>
      <c r="D6" s="12"/>
      <c r="E6" s="12"/>
      <c r="F6" s="12"/>
      <c r="G6" s="13"/>
      <c r="H6" s="13"/>
      <c r="I6" s="10"/>
    </row>
    <row r="7" spans="1:18" ht="15" customHeight="1">
      <c r="A7" s="3"/>
      <c r="B7" s="14">
        <f>IF(DAY(JanSun1)=1,IF(AND(YEAR(JanSun1+1)=CalendarYear,MONTH(JanSun1+1)=1),JanSun1+1,""),IF(AND(YEAR(JanSun1+8)=CalendarYear,MONTH(JanSun1+8)=1),JanSun1+8,""))</f>
        <v>42373</v>
      </c>
      <c r="C7" s="14">
        <f>IF(DAY(JanSun1)=1,IF(AND(YEAR(JanSun1+2)=CalendarYear,MONTH(JanSun1+2)=1),JanSun1+2,""),IF(AND(YEAR(JanSun1+9)=CalendarYear,MONTH(JanSun1+9)=1),JanSun1+9,""))</f>
        <v>42374</v>
      </c>
      <c r="D7" s="14">
        <f>IF(DAY(JanSun1)=1,IF(AND(YEAR(JanSun1+3)=CalendarYear,MONTH(JanSun1+3)=1),JanSun1+3,""),IF(AND(YEAR(JanSun1+10)=CalendarYear,MONTH(JanSun1+10)=1),JanSun1+10,""))</f>
        <v>42375</v>
      </c>
      <c r="E7" s="14">
        <f>IF(DAY(JanSun1)=1,IF(AND(YEAR(JanSun1+4)=CalendarYear,MONTH(JanSun1+4)=1),JanSun1+4,""),IF(AND(YEAR(JanSun1+11)=CalendarYear,MONTH(JanSun1+11)=1),JanSun1+11,""))</f>
        <v>42376</v>
      </c>
      <c r="F7" s="14">
        <f>IF(DAY(JanSun1)=1,IF(AND(YEAR(JanSun1+5)=CalendarYear,MONTH(JanSun1+5)=1),JanSun1+5,""),IF(AND(YEAR(JanSun1+12)=CalendarYear,MONTH(JanSun1+12)=1),JanSun1+12,""))</f>
        <v>42377</v>
      </c>
      <c r="G7" s="14">
        <f>IF(DAY(JanSun1)=1,IF(AND(YEAR(JanSun1+6)=CalendarYear,MONTH(JanSun1+6)=1),JanSun1+6,""),IF(AND(YEAR(JanSun1+13)=CalendarYear,MONTH(JanSun1+13)=1),JanSun1+13,""))</f>
        <v>42378</v>
      </c>
      <c r="H7" s="14">
        <f>IF(DAY(JanSun1)=1,IF(AND(YEAR(JanSun1+7)=CalendarYear,MONTH(JanSun1+7)=1),JanSun1+7,""),IF(AND(YEAR(JanSun1+14)=CalendarYear,MONTH(JanSun1+14)=1),JanSun1+14,""))</f>
        <v>42379</v>
      </c>
      <c r="I7" s="10"/>
    </row>
    <row r="8" spans="1:18" ht="55.5" customHeight="1">
      <c r="A8" s="3"/>
      <c r="B8" s="15"/>
      <c r="C8" s="15"/>
      <c r="D8" s="15"/>
      <c r="E8" s="15"/>
      <c r="F8" s="15"/>
      <c r="G8" s="16"/>
      <c r="H8" s="16"/>
      <c r="I8" s="10"/>
    </row>
    <row r="9" spans="1:18" ht="15" customHeight="1">
      <c r="A9" s="3"/>
      <c r="B9" s="17">
        <f>IF(DAY(JanSun1)=1,IF(AND(YEAR(JanSun1+8)=CalendarYear,MONTH(JanSun1+8)=1),JanSun1+8,""),IF(AND(YEAR(JanSun1+15)=CalendarYear,MONTH(JanSun1+15)=1),JanSun1+15,""))</f>
        <v>42380</v>
      </c>
      <c r="C9" s="17">
        <f>IF(DAY(JanSun1)=1,IF(AND(YEAR(JanSun1+9)=CalendarYear,MONTH(JanSun1+9)=1),JanSun1+9,""),IF(AND(YEAR(JanSun1+16)=CalendarYear,MONTH(JanSun1+16)=1),JanSun1+16,""))</f>
        <v>42381</v>
      </c>
      <c r="D9" s="17">
        <f>IF(DAY(JanSun1)=1,IF(AND(YEAR(JanSun1+10)=CalendarYear,MONTH(JanSun1+10)=1),JanSun1+10,""),IF(AND(YEAR(JanSun1+17)=CalendarYear,MONTH(JanSun1+17)=1),JanSun1+17,""))</f>
        <v>42382</v>
      </c>
      <c r="E9" s="17">
        <f>IF(DAY(JanSun1)=1,IF(AND(YEAR(JanSun1+11)=CalendarYear,MONTH(JanSun1+11)=1),JanSun1+11,""),IF(AND(YEAR(JanSun1+18)=CalendarYear,MONTH(JanSun1+18)=1),JanSun1+18,""))</f>
        <v>42383</v>
      </c>
      <c r="F9" s="17">
        <f>IF(DAY(JanSun1)=1,IF(AND(YEAR(JanSun1+12)=CalendarYear,MONTH(JanSun1+12)=1),JanSun1+12,""),IF(AND(YEAR(JanSun1+19)=CalendarYear,MONTH(JanSun1+19)=1),JanSun1+19,""))</f>
        <v>42384</v>
      </c>
      <c r="G9" s="17">
        <f>IF(DAY(JanSun1)=1,IF(AND(YEAR(JanSun1+13)=CalendarYear,MONTH(JanSun1+13)=1),JanSun1+13,""),IF(AND(YEAR(JanSun1+20)=CalendarYear,MONTH(JanSun1+20)=1),JanSun1+20,""))</f>
        <v>42385</v>
      </c>
      <c r="H9" s="17">
        <f>IF(DAY(JanSun1)=1,IF(AND(YEAR(JanSun1+14)=CalendarYear,MONTH(JanSun1+14)=1),JanSun1+14,""),IF(AND(YEAR(JanSun1+21)=CalendarYear,MONTH(JanSun1+21)=1),JanSun1+21,""))</f>
        <v>42386</v>
      </c>
      <c r="I9" s="10"/>
    </row>
    <row r="10" spans="1:18" ht="55.5" customHeight="1">
      <c r="A10" s="3"/>
      <c r="B10" s="12"/>
      <c r="C10" s="12"/>
      <c r="D10" s="12"/>
      <c r="E10" s="12"/>
      <c r="F10" s="12"/>
      <c r="G10" s="13"/>
      <c r="H10" s="13"/>
      <c r="I10" s="10"/>
    </row>
    <row r="11" spans="1:18" ht="15" customHeight="1">
      <c r="A11" s="3"/>
      <c r="B11" s="18">
        <f>IF(DAY(JanSun1)=1,IF(AND(YEAR(JanSun1+15)=CalendarYear,MONTH(JanSun1+15)=1),JanSun1+15,""),IF(AND(YEAR(JanSun1+22)=CalendarYear,MONTH(JanSun1+22)=1),JanSun1+22,""))</f>
        <v>42387</v>
      </c>
      <c r="C11" s="18">
        <f>IF(DAY(JanSun1)=1,IF(AND(YEAR(JanSun1+16)=CalendarYear,MONTH(JanSun1+16)=1),JanSun1+16,""),IF(AND(YEAR(JanSun1+23)=CalendarYear,MONTH(JanSun1+23)=1),JanSun1+23,""))</f>
        <v>42388</v>
      </c>
      <c r="D11" s="18">
        <f>IF(DAY(JanSun1)=1,IF(AND(YEAR(JanSun1+17)=CalendarYear,MONTH(JanSun1+17)=1),JanSun1+17,""),IF(AND(YEAR(JanSun1+24)=CalendarYear,MONTH(JanSun1+24)=1),JanSun1+24,""))</f>
        <v>42389</v>
      </c>
      <c r="E11" s="18">
        <f>IF(DAY(JanSun1)=1,IF(AND(YEAR(JanSun1+18)=CalendarYear,MONTH(JanSun1+18)=1),JanSun1+18,""),IF(AND(YEAR(JanSun1+25)=CalendarYear,MONTH(JanSun1+25)=1),JanSun1+25,""))</f>
        <v>42390</v>
      </c>
      <c r="F11" s="18">
        <f>IF(DAY(JanSun1)=1,IF(AND(YEAR(JanSun1+19)=CalendarYear,MONTH(JanSun1+19)=1),JanSun1+19,""),IF(AND(YEAR(JanSun1+26)=CalendarYear,MONTH(JanSun1+26)=1),JanSun1+26,""))</f>
        <v>42391</v>
      </c>
      <c r="G11" s="18">
        <f>IF(DAY(JanSun1)=1,IF(AND(YEAR(JanSun1+20)=CalendarYear,MONTH(JanSun1+20)=1),JanSun1+20,""),IF(AND(YEAR(JanSun1+27)=CalendarYear,MONTH(JanSun1+27)=1),JanSun1+27,""))</f>
        <v>42392</v>
      </c>
      <c r="H11" s="18">
        <f>IF(DAY(JanSun1)=1,IF(AND(YEAR(JanSun1+21)=CalendarYear,MONTH(JanSun1+21)=1),JanSun1+21,""),IF(AND(YEAR(JanSun1+28)=CalendarYear,MONTH(JanSun1+28)=1),JanSun1+28,""))</f>
        <v>42393</v>
      </c>
      <c r="I11" s="10"/>
    </row>
    <row r="12" spans="1:18" ht="55.5" customHeight="1">
      <c r="A12" s="3"/>
      <c r="B12" s="15"/>
      <c r="C12" s="15"/>
      <c r="D12" s="15"/>
      <c r="E12" s="15"/>
      <c r="F12" s="15"/>
      <c r="G12" s="16"/>
      <c r="H12" s="16"/>
      <c r="I12" s="10"/>
    </row>
    <row r="13" spans="1:18" ht="15" customHeight="1">
      <c r="A13" s="3"/>
      <c r="B13" s="17">
        <f>IF(DAY(JanSun1)=1,IF(AND(YEAR(JanSun1+22)=CalendarYear,MONTH(JanSun1+22)=1),JanSun1+22,""),IF(AND(YEAR(JanSun1+29)=CalendarYear,MONTH(JanSun1+29)=1),JanSun1+29,""))</f>
        <v>42394</v>
      </c>
      <c r="C13" s="17">
        <f>IF(DAY(JanSun1)=1,IF(AND(YEAR(JanSun1+23)=CalendarYear,MONTH(JanSun1+23)=1),JanSun1+23,""),IF(AND(YEAR(JanSun1+30)=CalendarYear,MONTH(JanSun1+30)=1),JanSun1+30,""))</f>
        <v>42395</v>
      </c>
      <c r="D13" s="17">
        <f>IF(DAY(JanSun1)=1,IF(AND(YEAR(JanSun1+24)=CalendarYear,MONTH(JanSun1+24)=1),JanSun1+24,""),IF(AND(YEAR(JanSun1+31)=CalendarYear,MONTH(JanSun1+31)=1),JanSun1+31,""))</f>
        <v>42396</v>
      </c>
      <c r="E13" s="17">
        <f>IF(DAY(JanSun1)=1,IF(AND(YEAR(JanSun1+25)=CalendarYear,MONTH(JanSun1+25)=1),JanSun1+25,""),IF(AND(YEAR(JanSun1+32)=CalendarYear,MONTH(JanSun1+32)=1),JanSun1+32,""))</f>
        <v>42397</v>
      </c>
      <c r="F13" s="17">
        <f>IF(DAY(JanSun1)=1,IF(AND(YEAR(JanSun1+26)=CalendarYear,MONTH(JanSun1+26)=1),JanSun1+26,""),IF(AND(YEAR(JanSun1+33)=CalendarYear,MONTH(JanSun1+33)=1),JanSun1+33,""))</f>
        <v>42398</v>
      </c>
      <c r="G13" s="17">
        <f>IF(DAY(JanSun1)=1,IF(AND(YEAR(JanSun1+27)=CalendarYear,MONTH(JanSun1+27)=1),JanSun1+27,""),IF(AND(YEAR(JanSun1+34)=CalendarYear,MONTH(JanSun1+34)=1),JanSun1+34,""))</f>
        <v>42399</v>
      </c>
      <c r="H13" s="17">
        <f>IF(DAY(JanSun1)=1,IF(AND(YEAR(JanSun1+28)=CalendarYear,MONTH(JanSun1+28)=1),JanSun1+28,""),IF(AND(YEAR(JanSun1+35)=CalendarYear,MONTH(JanSun1+35)=1),JanSun1+35,""))</f>
        <v>42400</v>
      </c>
      <c r="I13" s="10"/>
    </row>
    <row r="14" spans="1:18" ht="55.5" customHeight="1">
      <c r="A14" s="3"/>
      <c r="B14" s="12"/>
      <c r="C14" s="12"/>
      <c r="D14" s="12"/>
      <c r="E14" s="12"/>
      <c r="F14" s="12"/>
      <c r="G14" s="13"/>
      <c r="H14" s="13"/>
      <c r="I14" s="10"/>
    </row>
    <row r="15" spans="1:18" ht="15" customHeight="1">
      <c r="A15" s="3"/>
      <c r="B15" s="18" t="str">
        <f>IF(DAY(JanSun1)=1,IF(AND(YEAR(JanSun1+29)=CalendarYear,MONTH(JanSun1+29)=1),JanSun1+29,""),IF(AND(YEAR(JanSun1+36)=CalendarYear,MONTH(JanSun1+36)=1),JanSun1+36,""))</f>
        <v/>
      </c>
      <c r="C15" s="19" t="str">
        <f>IF(DAY(JanSun1)=1,IF(AND(YEAR(JanSun1+30)=CalendarYear,MONTH(JanSun1+30)=1),JanSun1+30,""),IF(AND(YEAR(JanSun1+37)=CalendarYear,MONTH(JanSun1+37)=1),JanSun1+37,""))</f>
        <v/>
      </c>
      <c r="D15" s="28" t="s">
        <v>8</v>
      </c>
      <c r="E15" s="29"/>
      <c r="F15" s="29"/>
      <c r="G15" s="29"/>
      <c r="H15" s="30"/>
      <c r="I15" s="10"/>
    </row>
    <row r="16" spans="1:18" ht="55.5" customHeight="1">
      <c r="A16" s="3"/>
      <c r="B16" s="15"/>
      <c r="C16" s="15"/>
      <c r="D16" s="25"/>
      <c r="E16" s="26"/>
      <c r="F16" s="26"/>
      <c r="G16" s="26"/>
      <c r="H16" s="27"/>
      <c r="I16" s="10"/>
    </row>
    <row r="17" spans="3:5" ht="17.25" customHeight="1"/>
    <row r="19" spans="3:5" ht="21" customHeight="1">
      <c r="C19" s="20"/>
      <c r="D19" s="21"/>
      <c r="E19" s="22"/>
    </row>
    <row r="20" spans="3:5" ht="19.5" customHeight="1"/>
  </sheetData>
  <mergeCells count="3">
    <mergeCell ref="D16:H16"/>
    <mergeCell ref="D15:H15"/>
    <mergeCell ref="B3:F3"/>
  </mergeCells>
  <phoneticPr fontId="6" type="noConversion"/>
  <printOptions horizontalCentered="1" verticalCentered="1"/>
  <pageMargins left="0.2" right="0.2" top="0.25" bottom="0.25" header="0" footer="0"/>
  <pageSetup scale="68" orientation="landscape" r:id="rId1"/>
  <headerFooter scaleWithDoc="0" alignWithMargins="0"/>
  <customProperties>
    <customPr name="SheetChange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Spinner 2">
              <controlPr defaultSize="0" autoPict="0" altText="微調按鈕控制項。使用微調按鈕變更行事曆年度，或在儲存格 L2 中輸入想要的年度">
                <anchor moveWithCells="1">
                  <from>
                    <xdr:col>11</xdr:col>
                    <xdr:colOff>952500</xdr:colOff>
                    <xdr:row>1</xdr:row>
                    <xdr:rowOff>45720</xdr:rowOff>
                  </from>
                  <to>
                    <xdr:col>12</xdr:col>
                    <xdr:colOff>83820</xdr:colOff>
                    <xdr:row>2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8">
    <pageSetUpPr fitToPage="1"/>
  </sheetPr>
  <dimension ref="A1:R20"/>
  <sheetViews>
    <sheetView showGridLines="0" topLeftCell="A4" zoomScale="80" zoomScaleNormal="80" workbookViewId="0">
      <selection activeCell="D6" sqref="D6"/>
    </sheetView>
  </sheetViews>
  <sheetFormatPr defaultColWidth="6.6328125" defaultRowHeight="14.4"/>
  <cols>
    <col min="1" max="1" width="3.08984375" style="4" customWidth="1"/>
    <col min="2" max="9" width="13.81640625" style="4" customWidth="1"/>
    <col min="10" max="10" width="12.6328125" style="4" customWidth="1"/>
    <col min="11" max="11" width="2.08984375" style="4" customWidth="1"/>
    <col min="12" max="12" width="11.81640625" style="4" customWidth="1"/>
    <col min="13" max="13" width="11.36328125" style="4" customWidth="1"/>
    <col min="14" max="16384" width="6.6328125" style="4"/>
  </cols>
  <sheetData>
    <row r="1" spans="1:18" ht="15.6">
      <c r="A1" s="3"/>
    </row>
    <row r="2" spans="1:18" ht="26.25" customHeight="1">
      <c r="A2" s="3"/>
    </row>
    <row r="3" spans="1:18" ht="57.75" customHeight="1">
      <c r="A3" s="3"/>
      <c r="B3" s="31" t="str">
        <f>UPPER(TEXT(DATE(CalendarYear,8,1),"[$-404]mmmm yyyy"))</f>
        <v>八月 2016</v>
      </c>
      <c r="C3" s="31"/>
      <c r="D3" s="31"/>
      <c r="E3" s="31"/>
      <c r="F3" s="31"/>
    </row>
    <row r="4" spans="1:18" s="3" customFormat="1" ht="29.25" customHeight="1">
      <c r="B4" s="1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7" t="s">
        <v>6</v>
      </c>
      <c r="I4" s="4"/>
      <c r="J4" s="4"/>
      <c r="L4" s="4"/>
      <c r="M4" s="8"/>
      <c r="Q4" s="4"/>
      <c r="R4" s="4"/>
    </row>
    <row r="5" spans="1:18" s="3" customFormat="1" ht="15" customHeight="1">
      <c r="B5" s="9">
        <f>IF(DAY(AugSun1)=1,"",IF(AND(YEAR(AugSun1+1)=CalendarYear,MONTH(AugSun1+1)=8),AugSun1+1,""))</f>
        <v>42583</v>
      </c>
      <c r="C5" s="9">
        <f>IF(DAY(AugSun1)=1,"",IF(AND(YEAR(AugSun1+2)=CalendarYear,MONTH(AugSun1+2)=8),AugSun1+2,""))</f>
        <v>42584</v>
      </c>
      <c r="D5" s="9">
        <f>IF(DAY(AugSun1)=1,"",IF(AND(YEAR(AugSun1+3)=CalendarYear,MONTH(AugSun1+3)=8),AugSun1+3,""))</f>
        <v>42585</v>
      </c>
      <c r="E5" s="9">
        <f>IF(DAY(AugSun1)=1,"",IF(AND(YEAR(AugSun1+4)=CalendarYear,MONTH(AugSun1+4)=8),AugSun1+4,""))</f>
        <v>42586</v>
      </c>
      <c r="F5" s="9">
        <f>IF(DAY(AugSun1)=1,"",IF(AND(YEAR(AugSun1+5)=CalendarYear,MONTH(AugSun1+5)=8),AugSun1+5,""))</f>
        <v>42587</v>
      </c>
      <c r="G5" s="9">
        <f>IF(DAY(AugSun1)=1,"",IF(AND(YEAR(AugSun1+6)=CalendarYear,MONTH(AugSun1+6)=8),AugSun1+6,""))</f>
        <v>42588</v>
      </c>
      <c r="H5" s="9">
        <f>IF(DAY(AugSun1)=1,IF(AND(YEAR(AugSun1)=CalendarYear,MONTH(AugSun1)=8),AugSun1,""),IF(AND(YEAR(AugSun1+7)=CalendarYear,MONTH(AugSun1+7)=8),AugSun1+7,""))</f>
        <v>42589</v>
      </c>
      <c r="I5" s="10"/>
      <c r="K5" s="4"/>
      <c r="L5" s="4"/>
      <c r="M5" s="4"/>
      <c r="Q5" s="11"/>
      <c r="R5" s="4"/>
    </row>
    <row r="6" spans="1:18" s="11" customFormat="1" ht="55.5" customHeight="1">
      <c r="A6" s="3"/>
      <c r="B6" s="12" t="s">
        <v>26</v>
      </c>
      <c r="C6" s="12"/>
      <c r="D6" s="12" t="s">
        <v>57</v>
      </c>
      <c r="E6" s="12"/>
      <c r="F6" s="12"/>
      <c r="G6" s="13"/>
      <c r="H6" s="13"/>
      <c r="I6" s="10"/>
    </row>
    <row r="7" spans="1:18" ht="15" customHeight="1">
      <c r="A7" s="3"/>
      <c r="B7" s="14">
        <f>IF(DAY(AugSun1)=1,IF(AND(YEAR(AugSun1+1)=CalendarYear,MONTH(AugSun1+1)=8),AugSun1+1,""),IF(AND(YEAR(AugSun1+8)=CalendarYear,MONTH(AugSun1+8)=8),AugSun1+8,""))</f>
        <v>42590</v>
      </c>
      <c r="C7" s="14">
        <f>IF(DAY(AugSun1)=1,IF(AND(YEAR(AugSun1+2)=CalendarYear,MONTH(AugSun1+2)=8),AugSun1+2,""),IF(AND(YEAR(AugSun1+9)=CalendarYear,MONTH(AugSun1+9)=8),AugSun1+9,""))</f>
        <v>42591</v>
      </c>
      <c r="D7" s="14">
        <f>IF(DAY(AugSun1)=1,IF(AND(YEAR(AugSun1+3)=CalendarYear,MONTH(AugSun1+3)=8),AugSun1+3,""),IF(AND(YEAR(AugSun1+10)=CalendarYear,MONTH(AugSun1+10)=8),AugSun1+10,""))</f>
        <v>42592</v>
      </c>
      <c r="E7" s="14">
        <f>IF(DAY(AugSun1)=1,IF(AND(YEAR(AugSun1+4)=CalendarYear,MONTH(AugSun1+4)=8),AugSun1+4,""),IF(AND(YEAR(AugSun1+11)=CalendarYear,MONTH(AugSun1+11)=8),AugSun1+11,""))</f>
        <v>42593</v>
      </c>
      <c r="F7" s="14">
        <f>IF(DAY(AugSun1)=1,IF(AND(YEAR(AugSun1+5)=CalendarYear,MONTH(AugSun1+5)=8),AugSun1+5,""),IF(AND(YEAR(AugSun1+12)=CalendarYear,MONTH(AugSun1+12)=8),AugSun1+12,""))</f>
        <v>42594</v>
      </c>
      <c r="G7" s="14">
        <f>IF(DAY(AugSun1)=1,IF(AND(YEAR(AugSun1+6)=CalendarYear,MONTH(AugSun1+6)=8),AugSun1+6,""),IF(AND(YEAR(AugSun1+13)=CalendarYear,MONTH(AugSun1+13)=8),AugSun1+13,""))</f>
        <v>42595</v>
      </c>
      <c r="H7" s="14">
        <f>IF(DAY(AugSun1)=1,IF(AND(YEAR(AugSun1+7)=CalendarYear,MONTH(AugSun1+7)=8),AugSun1+7,""),IF(AND(YEAR(AugSun1+14)=CalendarYear,MONTH(AugSun1+14)=8),AugSun1+14,""))</f>
        <v>42596</v>
      </c>
      <c r="I7" s="10"/>
    </row>
    <row r="8" spans="1:18" ht="55.5" customHeight="1">
      <c r="A8" s="3"/>
      <c r="B8" s="15"/>
      <c r="C8" s="15"/>
      <c r="D8" s="15"/>
      <c r="E8" s="15"/>
      <c r="F8" s="15"/>
      <c r="G8" s="16"/>
      <c r="H8" s="16"/>
      <c r="I8" s="10"/>
    </row>
    <row r="9" spans="1:18" ht="15" customHeight="1">
      <c r="A9" s="3"/>
      <c r="B9" s="17">
        <f>IF(DAY(AugSun1)=1,IF(AND(YEAR(AugSun1+8)=CalendarYear,MONTH(AugSun1+8)=8),AugSun1+8,""),IF(AND(YEAR(AugSun1+15)=CalendarYear,MONTH(AugSun1+15)=8),AugSun1+15,""))</f>
        <v>42597</v>
      </c>
      <c r="C9" s="17">
        <f>IF(DAY(AugSun1)=1,IF(AND(YEAR(AugSun1+9)=CalendarYear,MONTH(AugSun1+9)=8),AugSun1+9,""),IF(AND(YEAR(AugSun1+16)=CalendarYear,MONTH(AugSun1+16)=8),AugSun1+16,""))</f>
        <v>42598</v>
      </c>
      <c r="D9" s="17">
        <f>IF(DAY(AugSun1)=1,IF(AND(YEAR(AugSun1+10)=CalendarYear,MONTH(AugSun1+10)=8),AugSun1+10,""),IF(AND(YEAR(AugSun1+17)=CalendarYear,MONTH(AugSun1+17)=8),AugSun1+17,""))</f>
        <v>42599</v>
      </c>
      <c r="E9" s="17">
        <f>IF(DAY(AugSun1)=1,IF(AND(YEAR(AugSun1+11)=CalendarYear,MONTH(AugSun1+11)=8),AugSun1+11,""),IF(AND(YEAR(AugSun1+18)=CalendarYear,MONTH(AugSun1+18)=8),AugSun1+18,""))</f>
        <v>42600</v>
      </c>
      <c r="F9" s="17">
        <f>IF(DAY(AugSun1)=1,IF(AND(YEAR(AugSun1+12)=CalendarYear,MONTH(AugSun1+12)=8),AugSun1+12,""),IF(AND(YEAR(AugSun1+19)=CalendarYear,MONTH(AugSun1+19)=8),AugSun1+19,""))</f>
        <v>42601</v>
      </c>
      <c r="G9" s="17">
        <f>IF(DAY(AugSun1)=1,IF(AND(YEAR(AugSun1+13)=CalendarYear,MONTH(AugSun1+13)=8),AugSun1+13,""),IF(AND(YEAR(AugSun1+20)=CalendarYear,MONTH(AugSun1+20)=8),AugSun1+20,""))</f>
        <v>42602</v>
      </c>
      <c r="H9" s="17">
        <f>IF(DAY(AugSun1)=1,IF(AND(YEAR(AugSun1+14)=CalendarYear,MONTH(AugSun1+14)=8),AugSun1+14,""),IF(AND(YEAR(AugSun1+21)=CalendarYear,MONTH(AugSun1+21)=8),AugSun1+21,""))</f>
        <v>42603</v>
      </c>
      <c r="I9" s="10"/>
    </row>
    <row r="10" spans="1:18" ht="55.5" customHeight="1">
      <c r="A10" s="3"/>
      <c r="B10" s="12"/>
      <c r="C10" s="12"/>
      <c r="D10" s="12"/>
      <c r="E10" s="12"/>
      <c r="F10" s="12"/>
      <c r="G10" s="13"/>
      <c r="H10" s="13"/>
      <c r="I10" s="10"/>
    </row>
    <row r="11" spans="1:18" ht="15" customHeight="1">
      <c r="A11" s="3"/>
      <c r="B11" s="18">
        <f>IF(DAY(AugSun1)=1,IF(AND(YEAR(AugSun1+15)=CalendarYear,MONTH(AugSun1+15)=8),AugSun1+15,""),IF(AND(YEAR(AugSun1+22)=CalendarYear,MONTH(AugSun1+22)=8),AugSun1+22,""))</f>
        <v>42604</v>
      </c>
      <c r="C11" s="18">
        <f>IF(DAY(AugSun1)=1,IF(AND(YEAR(AugSun1+16)=CalendarYear,MONTH(AugSun1+16)=8),AugSun1+16,""),IF(AND(YEAR(AugSun1+23)=CalendarYear,MONTH(AugSun1+23)=8),AugSun1+23,""))</f>
        <v>42605</v>
      </c>
      <c r="D11" s="18">
        <f>IF(DAY(AugSun1)=1,IF(AND(YEAR(AugSun1+17)=CalendarYear,MONTH(AugSun1+17)=8),AugSun1+17,""),IF(AND(YEAR(AugSun1+24)=CalendarYear,MONTH(AugSun1+24)=8),AugSun1+24,""))</f>
        <v>42606</v>
      </c>
      <c r="E11" s="18">
        <f>IF(DAY(AugSun1)=1,IF(AND(YEAR(AugSun1+18)=CalendarYear,MONTH(AugSun1+18)=8),AugSun1+18,""),IF(AND(YEAR(AugSun1+25)=CalendarYear,MONTH(AugSun1+25)=8),AugSun1+25,""))</f>
        <v>42607</v>
      </c>
      <c r="F11" s="18">
        <f>IF(DAY(AugSun1)=1,IF(AND(YEAR(AugSun1+19)=CalendarYear,MONTH(AugSun1+19)=8),AugSun1+19,""),IF(AND(YEAR(AugSun1+26)=CalendarYear,MONTH(AugSun1+26)=8),AugSun1+26,""))</f>
        <v>42608</v>
      </c>
      <c r="G11" s="18">
        <f>IF(DAY(AugSun1)=1,IF(AND(YEAR(AugSun1+20)=CalendarYear,MONTH(AugSun1+20)=8),AugSun1+20,""),IF(AND(YEAR(AugSun1+27)=CalendarYear,MONTH(AugSun1+27)=8),AugSun1+27,""))</f>
        <v>42609</v>
      </c>
      <c r="H11" s="18">
        <f>IF(DAY(AugSun1)=1,IF(AND(YEAR(AugSun1+21)=CalendarYear,MONTH(AugSun1+21)=8),AugSun1+21,""),IF(AND(YEAR(AugSun1+28)=CalendarYear,MONTH(AugSun1+28)=8),AugSun1+28,""))</f>
        <v>42610</v>
      </c>
      <c r="I11" s="10"/>
    </row>
    <row r="12" spans="1:18" ht="55.5" customHeight="1">
      <c r="A12" s="3"/>
      <c r="B12" s="15"/>
      <c r="C12" s="15"/>
      <c r="D12" s="15"/>
      <c r="E12" s="15"/>
      <c r="F12" s="15"/>
      <c r="G12" s="16"/>
      <c r="H12" s="16"/>
      <c r="I12" s="10"/>
    </row>
    <row r="13" spans="1:18" ht="15" customHeight="1">
      <c r="A13" s="3"/>
      <c r="B13" s="17">
        <f>IF(DAY(AugSun1)=1,IF(AND(YEAR(AugSun1+22)=CalendarYear,MONTH(AugSun1+22)=8),AugSun1+22,""),IF(AND(YEAR(AugSun1+29)=CalendarYear,MONTH(AugSun1+29)=8),AugSun1+29,""))</f>
        <v>42611</v>
      </c>
      <c r="C13" s="17">
        <f>IF(DAY(AugSun1)=1,IF(AND(YEAR(AugSun1+23)=CalendarYear,MONTH(AugSun1+23)=8),AugSun1+23,""),IF(AND(YEAR(AugSun1+30)=CalendarYear,MONTH(AugSun1+30)=8),AugSun1+30,""))</f>
        <v>42612</v>
      </c>
      <c r="D13" s="17">
        <f>IF(DAY(AugSun1)=1,IF(AND(YEAR(AugSun1+24)=CalendarYear,MONTH(AugSun1+24)=8),AugSun1+24,""),IF(AND(YEAR(AugSun1+31)=CalendarYear,MONTH(AugSun1+31)=8),AugSun1+31,""))</f>
        <v>42613</v>
      </c>
      <c r="E13" s="17" t="str">
        <f>IF(DAY(AugSun1)=1,IF(AND(YEAR(AugSun1+25)=CalendarYear,MONTH(AugSun1+25)=8),AugSun1+25,""),IF(AND(YEAR(AugSun1+32)=CalendarYear,MONTH(AugSun1+32)=8),AugSun1+32,""))</f>
        <v/>
      </c>
      <c r="F13" s="17" t="str">
        <f>IF(DAY(AugSun1)=1,IF(AND(YEAR(AugSun1+26)=CalendarYear,MONTH(AugSun1+26)=8),AugSun1+26,""),IF(AND(YEAR(AugSun1+33)=CalendarYear,MONTH(AugSun1+33)=8),AugSun1+33,""))</f>
        <v/>
      </c>
      <c r="G13" s="17" t="str">
        <f>IF(DAY(AugSun1)=1,IF(AND(YEAR(AugSun1+27)=CalendarYear,MONTH(AugSun1+27)=8),AugSun1+27,""),IF(AND(YEAR(AugSun1+34)=CalendarYear,MONTH(AugSun1+34)=8),AugSun1+34,""))</f>
        <v/>
      </c>
      <c r="H13" s="17" t="str">
        <f>IF(DAY(AugSun1)=1,IF(AND(YEAR(AugSun1+28)=CalendarYear,MONTH(AugSun1+28)=8),AugSun1+28,""),IF(AND(YEAR(AugSun1+35)=CalendarYear,MONTH(AugSun1+35)=8),AugSun1+35,""))</f>
        <v/>
      </c>
      <c r="I13" s="10"/>
    </row>
    <row r="14" spans="1:18" ht="55.5" customHeight="1">
      <c r="A14" s="3"/>
      <c r="B14" s="12"/>
      <c r="C14" s="12"/>
      <c r="D14" s="12"/>
      <c r="E14" s="12"/>
      <c r="F14" s="12"/>
      <c r="G14" s="13"/>
      <c r="H14" s="13"/>
      <c r="I14" s="10"/>
    </row>
    <row r="15" spans="1:18" ht="15" customHeight="1">
      <c r="A15" s="3"/>
      <c r="B15" s="18" t="str">
        <f>IF(DAY(AugSun1)=1,IF(AND(YEAR(AugSun1+29)=CalendarYear,MONTH(AugSun1+29)=8),AugSun1+29,""),IF(AND(YEAR(AugSun1+36)=CalendarYear,MONTH(AugSun1+36)=8),AugSun1+36,""))</f>
        <v/>
      </c>
      <c r="C15" s="19" t="str">
        <f>IF(DAY(AugSun1)=1,IF(AND(YEAR(AugSun1+30)=CalendarYear,MONTH(AugSun1+30)=8),AugSun1+30,""),IF(AND(YEAR(AugSun1+37)=CalendarYear,MONTH(AugSun1+37)=8),AugSun1+37,""))</f>
        <v/>
      </c>
      <c r="D15" s="28" t="s">
        <v>8</v>
      </c>
      <c r="E15" s="29"/>
      <c r="F15" s="29"/>
      <c r="G15" s="29"/>
      <c r="H15" s="30"/>
      <c r="I15" s="10"/>
    </row>
    <row r="16" spans="1:18" ht="55.5" customHeight="1">
      <c r="A16" s="3"/>
      <c r="B16" s="15"/>
      <c r="C16" s="15"/>
      <c r="D16" s="25" t="s">
        <v>29</v>
      </c>
      <c r="E16" s="26"/>
      <c r="F16" s="26"/>
      <c r="G16" s="26"/>
      <c r="H16" s="27"/>
      <c r="I16" s="10"/>
    </row>
    <row r="17" spans="3:5" ht="17.25" customHeight="1"/>
    <row r="19" spans="3:5" ht="21" customHeight="1">
      <c r="C19" s="20"/>
      <c r="D19" s="21"/>
      <c r="E19" s="22"/>
    </row>
    <row r="20" spans="3:5" ht="19.5" customHeight="1"/>
  </sheetData>
  <mergeCells count="3">
    <mergeCell ref="B3:F3"/>
    <mergeCell ref="D15:H15"/>
    <mergeCell ref="D16:H16"/>
  </mergeCells>
  <phoneticPr fontId="6" type="noConversion"/>
  <printOptions horizontalCentered="1" verticalCentered="1"/>
  <pageMargins left="0.2" right="0.2" top="0.25" bottom="0.25" header="0" footer="0"/>
  <pageSetup scale="68"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9">
    <pageSetUpPr fitToPage="1"/>
  </sheetPr>
  <dimension ref="A1:R20"/>
  <sheetViews>
    <sheetView showGridLines="0" tabSelected="1" topLeftCell="A4" zoomScale="79" zoomScaleNormal="79" workbookViewId="0">
      <selection activeCell="C12" sqref="C12"/>
    </sheetView>
  </sheetViews>
  <sheetFormatPr defaultColWidth="6.6328125" defaultRowHeight="14.4"/>
  <cols>
    <col min="1" max="1" width="0.7265625" style="4" customWidth="1"/>
    <col min="2" max="9" width="13.81640625" style="4" customWidth="1"/>
    <col min="10" max="10" width="12.6328125" style="4" customWidth="1"/>
    <col min="11" max="11" width="2.08984375" style="4" customWidth="1"/>
    <col min="12" max="12" width="11.81640625" style="4" customWidth="1"/>
    <col min="13" max="13" width="11.36328125" style="4" customWidth="1"/>
    <col min="14" max="16384" width="6.6328125" style="4"/>
  </cols>
  <sheetData>
    <row r="1" spans="1:18" ht="15.6">
      <c r="A1" s="3"/>
    </row>
    <row r="2" spans="1:18" ht="26.25" customHeight="1">
      <c r="A2" s="3"/>
    </row>
    <row r="3" spans="1:18" ht="57.75" customHeight="1">
      <c r="A3" s="3"/>
      <c r="B3" s="31" t="str">
        <f>UPPER(TEXT(DATE(CalendarYear,9,1),"[$-404]mmmm yyyy"))</f>
        <v>九月 2016</v>
      </c>
      <c r="C3" s="31"/>
      <c r="D3" s="31"/>
      <c r="E3" s="31"/>
      <c r="F3" s="31"/>
    </row>
    <row r="4" spans="1:18" s="3" customFormat="1" ht="29.25" customHeight="1">
      <c r="B4" s="1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7" t="s">
        <v>6</v>
      </c>
      <c r="I4" s="4"/>
      <c r="J4" s="4"/>
      <c r="L4" s="4"/>
      <c r="M4" s="8"/>
      <c r="Q4" s="4"/>
      <c r="R4" s="4"/>
    </row>
    <row r="5" spans="1:18" s="3" customFormat="1" ht="15" customHeight="1">
      <c r="B5" s="9" t="str">
        <f>IF(DAY(SepSun1)=1,"",IF(AND(YEAR(SepSun1+1)=CalendarYear,MONTH(SepSun1+1)=9),SepSun1+1,""))</f>
        <v/>
      </c>
      <c r="C5" s="9" t="str">
        <f>IF(DAY(SepSun1)=1,"",IF(AND(YEAR(SepSun1+2)=CalendarYear,MONTH(SepSun1+2)=9),SepSun1+2,""))</f>
        <v/>
      </c>
      <c r="D5" s="9" t="str">
        <f>IF(DAY(SepSun1)=1,"",IF(AND(YEAR(SepSun1+3)=CalendarYear,MONTH(SepSun1+3)=9),SepSun1+3,""))</f>
        <v/>
      </c>
      <c r="E5" s="9">
        <f>IF(DAY(SepSun1)=1,"",IF(AND(YEAR(SepSun1+4)=CalendarYear,MONTH(SepSun1+4)=9),SepSun1+4,""))</f>
        <v>42614</v>
      </c>
      <c r="F5" s="9">
        <f>IF(DAY(SepSun1)=1,"",IF(AND(YEAR(SepSun1+5)=CalendarYear,MONTH(SepSun1+5)=9),SepSun1+5,""))</f>
        <v>42615</v>
      </c>
      <c r="G5" s="9">
        <f>IF(DAY(SepSun1)=1,"",IF(AND(YEAR(SepSun1+6)=CalendarYear,MONTH(SepSun1+6)=9),SepSun1+6,""))</f>
        <v>42616</v>
      </c>
      <c r="H5" s="9">
        <f>IF(DAY(SepSun1)=1,IF(AND(YEAR(SepSun1)=CalendarYear,MONTH(SepSun1)=9),SepSun1,""),IF(AND(YEAR(SepSun1+7)=CalendarYear,MONTH(SepSun1+7)=9),SepSun1+7,""))</f>
        <v>42617</v>
      </c>
      <c r="I5" s="10"/>
      <c r="K5" s="4"/>
      <c r="L5" s="4"/>
      <c r="M5" s="4"/>
      <c r="Q5" s="11"/>
      <c r="R5" s="4"/>
    </row>
    <row r="6" spans="1:18" s="11" customFormat="1" ht="55.5" customHeight="1">
      <c r="A6" s="3"/>
      <c r="B6" s="12"/>
      <c r="C6" s="12"/>
      <c r="D6" s="12"/>
      <c r="E6" s="12"/>
      <c r="F6" s="12"/>
      <c r="G6" s="13"/>
      <c r="H6" s="13"/>
      <c r="I6" s="10"/>
    </row>
    <row r="7" spans="1:18" ht="15" customHeight="1">
      <c r="A7" s="3"/>
      <c r="B7" s="14">
        <f>IF(DAY(SepSun1)=1,IF(AND(YEAR(SepSun1+1)=CalendarYear,MONTH(SepSun1+1)=9),SepSun1+1,""),IF(AND(YEAR(SepSun1+8)=CalendarYear,MONTH(SepSun1+8)=9),SepSun1+8,""))</f>
        <v>42618</v>
      </c>
      <c r="C7" s="14">
        <f>IF(DAY(SepSun1)=1,IF(AND(YEAR(SepSun1+2)=CalendarYear,MONTH(SepSun1+2)=9),SepSun1+2,""),IF(AND(YEAR(SepSun1+9)=CalendarYear,MONTH(SepSun1+9)=9),SepSun1+9,""))</f>
        <v>42619</v>
      </c>
      <c r="D7" s="14">
        <f>IF(DAY(SepSun1)=1,IF(AND(YEAR(SepSun1+3)=CalendarYear,MONTH(SepSun1+3)=9),SepSun1+3,""),IF(AND(YEAR(SepSun1+10)=CalendarYear,MONTH(SepSun1+10)=9),SepSun1+10,""))</f>
        <v>42620</v>
      </c>
      <c r="E7" s="14">
        <f>IF(DAY(SepSun1)=1,IF(AND(YEAR(SepSun1+4)=CalendarYear,MONTH(SepSun1+4)=9),SepSun1+4,""),IF(AND(YEAR(SepSun1+11)=CalendarYear,MONTH(SepSun1+11)=9),SepSun1+11,""))</f>
        <v>42621</v>
      </c>
      <c r="F7" s="14">
        <f>IF(DAY(SepSun1)=1,IF(AND(YEAR(SepSun1+5)=CalendarYear,MONTH(SepSun1+5)=9),SepSun1+5,""),IF(AND(YEAR(SepSun1+12)=CalendarYear,MONTH(SepSun1+12)=9),SepSun1+12,""))</f>
        <v>42622</v>
      </c>
      <c r="G7" s="14">
        <f>IF(DAY(SepSun1)=1,IF(AND(YEAR(SepSun1+6)=CalendarYear,MONTH(SepSun1+6)=9),SepSun1+6,""),IF(AND(YEAR(SepSun1+13)=CalendarYear,MONTH(SepSun1+13)=9),SepSun1+13,""))</f>
        <v>42623</v>
      </c>
      <c r="H7" s="14">
        <f>IF(DAY(SepSun1)=1,IF(AND(YEAR(SepSun1+7)=CalendarYear,MONTH(SepSun1+7)=9),SepSun1+7,""),IF(AND(YEAR(SepSun1+14)=CalendarYear,MONTH(SepSun1+14)=9),SepSun1+14,""))</f>
        <v>42624</v>
      </c>
      <c r="I7" s="10"/>
    </row>
    <row r="8" spans="1:18" ht="55.5" customHeight="1">
      <c r="A8" s="3"/>
      <c r="B8" s="15"/>
      <c r="C8" s="15"/>
      <c r="D8" s="15" t="s">
        <v>65</v>
      </c>
      <c r="E8" s="15"/>
      <c r="F8" s="15"/>
      <c r="G8" s="16"/>
      <c r="H8" s="16"/>
      <c r="I8" s="10"/>
    </row>
    <row r="9" spans="1:18" ht="15" customHeight="1">
      <c r="A9" s="3"/>
      <c r="B9" s="17">
        <f>IF(DAY(SepSun1)=1,IF(AND(YEAR(SepSun1+8)=CalendarYear,MONTH(SepSun1+8)=9),SepSun1+8,""),IF(AND(YEAR(SepSun1+15)=CalendarYear,MONTH(SepSun1+15)=9),SepSun1+15,""))</f>
        <v>42625</v>
      </c>
      <c r="C9" s="17">
        <f>IF(DAY(SepSun1)=1,IF(AND(YEAR(SepSun1+9)=CalendarYear,MONTH(SepSun1+9)=9),SepSun1+9,""),IF(AND(YEAR(SepSun1+16)=CalendarYear,MONTH(SepSun1+16)=9),SepSun1+16,""))</f>
        <v>42626</v>
      </c>
      <c r="D9" s="17">
        <f>IF(DAY(SepSun1)=1,IF(AND(YEAR(SepSun1+10)=CalendarYear,MONTH(SepSun1+10)=9),SepSun1+10,""),IF(AND(YEAR(SepSun1+17)=CalendarYear,MONTH(SepSun1+17)=9),SepSun1+17,""))</f>
        <v>42627</v>
      </c>
      <c r="E9" s="17">
        <f>IF(DAY(SepSun1)=1,IF(AND(YEAR(SepSun1+11)=CalendarYear,MONTH(SepSun1+11)=9),SepSun1+11,""),IF(AND(YEAR(SepSun1+18)=CalendarYear,MONTH(SepSun1+18)=9),SepSun1+18,""))</f>
        <v>42628</v>
      </c>
      <c r="F9" s="17">
        <f>IF(DAY(SepSun1)=1,IF(AND(YEAR(SepSun1+12)=CalendarYear,MONTH(SepSun1+12)=9),SepSun1+12,""),IF(AND(YEAR(SepSun1+19)=CalendarYear,MONTH(SepSun1+19)=9),SepSun1+19,""))</f>
        <v>42629</v>
      </c>
      <c r="G9" s="17">
        <f>IF(DAY(SepSun1)=1,IF(AND(YEAR(SepSun1+13)=CalendarYear,MONTH(SepSun1+13)=9),SepSun1+13,""),IF(AND(YEAR(SepSun1+20)=CalendarYear,MONTH(SepSun1+20)=9),SepSun1+20,""))</f>
        <v>42630</v>
      </c>
      <c r="H9" s="17">
        <f>IF(DAY(SepSun1)=1,IF(AND(YEAR(SepSun1+14)=CalendarYear,MONTH(SepSun1+14)=9),SepSun1+14,""),IF(AND(YEAR(SepSun1+21)=CalendarYear,MONTH(SepSun1+21)=9),SepSun1+21,""))</f>
        <v>42631</v>
      </c>
      <c r="I9" s="10"/>
    </row>
    <row r="10" spans="1:18" ht="55.5" customHeight="1">
      <c r="A10" s="3"/>
      <c r="B10" s="12" t="s">
        <v>9</v>
      </c>
      <c r="C10" s="12"/>
      <c r="D10" s="12" t="s">
        <v>47</v>
      </c>
      <c r="E10" s="12"/>
      <c r="F10" s="12"/>
      <c r="G10" s="13"/>
      <c r="H10" s="13" t="s">
        <v>72</v>
      </c>
      <c r="I10" s="10"/>
    </row>
    <row r="11" spans="1:18" ht="15" customHeight="1">
      <c r="A11" s="3"/>
      <c r="B11" s="18">
        <f>IF(DAY(SepSun1)=1,IF(AND(YEAR(SepSun1+15)=CalendarYear,MONTH(SepSun1+15)=9),SepSun1+15,""),IF(AND(YEAR(SepSun1+22)=CalendarYear,MONTH(SepSun1+22)=9),SepSun1+22,""))</f>
        <v>42632</v>
      </c>
      <c r="C11" s="18">
        <f>IF(DAY(SepSun1)=1,IF(AND(YEAR(SepSun1+16)=CalendarYear,MONTH(SepSun1+16)=9),SepSun1+16,""),IF(AND(YEAR(SepSun1+23)=CalendarYear,MONTH(SepSun1+23)=9),SepSun1+23,""))</f>
        <v>42633</v>
      </c>
      <c r="D11" s="18">
        <f>IF(DAY(SepSun1)=1,IF(AND(YEAR(SepSun1+17)=CalendarYear,MONTH(SepSun1+17)=9),SepSun1+17,""),IF(AND(YEAR(SepSun1+24)=CalendarYear,MONTH(SepSun1+24)=9),SepSun1+24,""))</f>
        <v>42634</v>
      </c>
      <c r="E11" s="18">
        <f>IF(DAY(SepSun1)=1,IF(AND(YEAR(SepSun1+18)=CalendarYear,MONTH(SepSun1+18)=9),SepSun1+18,""),IF(AND(YEAR(SepSun1+25)=CalendarYear,MONTH(SepSun1+25)=9),SepSun1+25,""))</f>
        <v>42635</v>
      </c>
      <c r="F11" s="18">
        <f>IF(DAY(SepSun1)=1,IF(AND(YEAR(SepSun1+19)=CalendarYear,MONTH(SepSun1+19)=9),SepSun1+19,""),IF(AND(YEAR(SepSun1+26)=CalendarYear,MONTH(SepSun1+26)=9),SepSun1+26,""))</f>
        <v>42636</v>
      </c>
      <c r="G11" s="18">
        <f>IF(DAY(SepSun1)=1,IF(AND(YEAR(SepSun1+20)=CalendarYear,MONTH(SepSun1+20)=9),SepSun1+20,""),IF(AND(YEAR(SepSun1+27)=CalendarYear,MONTH(SepSun1+27)=9),SepSun1+27,""))</f>
        <v>42637</v>
      </c>
      <c r="H11" s="18">
        <f>IF(DAY(SepSun1)=1,IF(AND(YEAR(SepSun1+21)=CalendarYear,MONTH(SepSun1+21)=9),SepSun1+21,""),IF(AND(YEAR(SepSun1+28)=CalendarYear,MONTH(SepSun1+28)=9),SepSun1+28,""))</f>
        <v>42638</v>
      </c>
      <c r="I11" s="10"/>
    </row>
    <row r="12" spans="1:18" ht="55.5" customHeight="1">
      <c r="A12" s="3"/>
      <c r="B12" s="15"/>
      <c r="C12" s="15" t="s">
        <v>56</v>
      </c>
      <c r="D12" s="15" t="s">
        <v>58</v>
      </c>
      <c r="E12" s="15" t="s">
        <v>55</v>
      </c>
      <c r="F12" s="15" t="s">
        <v>55</v>
      </c>
      <c r="G12" s="15" t="s">
        <v>66</v>
      </c>
      <c r="H12" s="16"/>
      <c r="I12" s="10"/>
    </row>
    <row r="13" spans="1:18" ht="15" customHeight="1">
      <c r="A13" s="3"/>
      <c r="B13" s="17">
        <f>IF(DAY(SepSun1)=1,IF(AND(YEAR(SepSun1+22)=CalendarYear,MONTH(SepSun1+22)=9),SepSun1+22,""),IF(AND(YEAR(SepSun1+29)=CalendarYear,MONTH(SepSun1+29)=9),SepSun1+29,""))</f>
        <v>42639</v>
      </c>
      <c r="C13" s="17">
        <f>IF(DAY(SepSun1)=1,IF(AND(YEAR(SepSun1+23)=CalendarYear,MONTH(SepSun1+23)=9),SepSun1+23,""),IF(AND(YEAR(SepSun1+30)=CalendarYear,MONTH(SepSun1+30)=9),SepSun1+30,""))</f>
        <v>42640</v>
      </c>
      <c r="D13" s="17">
        <f>IF(DAY(SepSun1)=1,IF(AND(YEAR(SepSun1+24)=CalendarYear,MONTH(SepSun1+24)=9),SepSun1+24,""),IF(AND(YEAR(SepSun1+31)=CalendarYear,MONTH(SepSun1+31)=9),SepSun1+31,""))</f>
        <v>42641</v>
      </c>
      <c r="E13" s="17">
        <f>IF(DAY(SepSun1)=1,IF(AND(YEAR(SepSun1+25)=CalendarYear,MONTH(SepSun1+25)=9),SepSun1+25,""),IF(AND(YEAR(SepSun1+32)=CalendarYear,MONTH(SepSun1+32)=9),SepSun1+32,""))</f>
        <v>42642</v>
      </c>
      <c r="F13" s="17">
        <f>IF(DAY(SepSun1)=1,IF(AND(YEAR(SepSun1+26)=CalendarYear,MONTH(SepSun1+26)=9),SepSun1+26,""),IF(AND(YEAR(SepSun1+33)=CalendarYear,MONTH(SepSun1+33)=9),SepSun1+33,""))</f>
        <v>42643</v>
      </c>
      <c r="G13" s="17" t="str">
        <f>IF(DAY(SepSun1)=1,IF(AND(YEAR(SepSun1+27)=CalendarYear,MONTH(SepSun1+27)=9),SepSun1+27,""),IF(AND(YEAR(SepSun1+34)=CalendarYear,MONTH(SepSun1+34)=9),SepSun1+34,""))</f>
        <v/>
      </c>
      <c r="H13" s="17" t="str">
        <f>IF(DAY(SepSun1)=1,IF(AND(YEAR(SepSun1+28)=CalendarYear,MONTH(SepSun1+28)=9),SepSun1+28,""),IF(AND(YEAR(SepSun1+35)=CalendarYear,MONTH(SepSun1+35)=9),SepSun1+35,""))</f>
        <v/>
      </c>
      <c r="I13" s="10"/>
    </row>
    <row r="14" spans="1:18" ht="55.5" customHeight="1">
      <c r="A14" s="3"/>
      <c r="B14" s="23" t="s">
        <v>67</v>
      </c>
      <c r="C14" s="12" t="s">
        <v>22</v>
      </c>
      <c r="D14" s="12"/>
      <c r="E14" s="12"/>
      <c r="F14" s="12"/>
      <c r="G14" s="13"/>
      <c r="H14" s="13"/>
      <c r="I14" s="10"/>
    </row>
    <row r="15" spans="1:18" ht="15" customHeight="1">
      <c r="A15" s="3"/>
      <c r="B15" s="18" t="str">
        <f>IF(DAY(SepSun1)=1,IF(AND(YEAR(SepSun1+29)=CalendarYear,MONTH(SepSun1+29)=9),SepSun1+29,""),IF(AND(YEAR(SepSun1+36)=CalendarYear,MONTH(SepSun1+36)=9),SepSun1+36,""))</f>
        <v/>
      </c>
      <c r="C15" s="19" t="str">
        <f>IF(DAY(SepSun1)=1,IF(AND(YEAR(SepSun1+30)=CalendarYear,MONTH(SepSun1+30)=9),SepSun1+30,""),IF(AND(YEAR(SepSun1+37)=CalendarYear,MONTH(SepSun1+37)=9),SepSun1+37,""))</f>
        <v/>
      </c>
      <c r="D15" s="28" t="s">
        <v>33</v>
      </c>
      <c r="E15" s="29"/>
      <c r="F15" s="29"/>
      <c r="G15" s="29"/>
      <c r="H15" s="30"/>
      <c r="I15" s="10"/>
    </row>
    <row r="16" spans="1:18" ht="55.5" customHeight="1">
      <c r="A16" s="3"/>
      <c r="B16" s="15"/>
      <c r="C16" s="15"/>
      <c r="D16" s="25" t="s">
        <v>30</v>
      </c>
      <c r="E16" s="26"/>
      <c r="F16" s="26"/>
      <c r="G16" s="26"/>
      <c r="H16" s="27"/>
      <c r="I16" s="10"/>
    </row>
    <row r="17" spans="3:5" ht="17.25" customHeight="1"/>
    <row r="19" spans="3:5" ht="21" customHeight="1">
      <c r="C19" s="20"/>
      <c r="D19" s="21"/>
      <c r="E19" s="22"/>
    </row>
    <row r="20" spans="3:5" ht="19.5" customHeight="1"/>
  </sheetData>
  <mergeCells count="3">
    <mergeCell ref="B3:F3"/>
    <mergeCell ref="D15:H15"/>
    <mergeCell ref="D16:H16"/>
  </mergeCells>
  <phoneticPr fontId="6" type="noConversion"/>
  <printOptions horizontalCentered="1" verticalCentered="1"/>
  <pageMargins left="0.2" right="0.2" top="0.25" bottom="0.25" header="0" footer="0"/>
  <pageSetup scale="87" fitToWidth="0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0">
    <pageSetUpPr fitToPage="1"/>
  </sheetPr>
  <dimension ref="A1:R20"/>
  <sheetViews>
    <sheetView showGridLines="0" topLeftCell="A8" zoomScale="80" zoomScaleNormal="80" workbookViewId="0">
      <selection activeCell="C12" sqref="C12"/>
    </sheetView>
  </sheetViews>
  <sheetFormatPr defaultColWidth="6.6328125" defaultRowHeight="14.4"/>
  <cols>
    <col min="1" max="1" width="3.08984375" style="4" customWidth="1"/>
    <col min="2" max="9" width="13.81640625" style="4" customWidth="1"/>
    <col min="10" max="10" width="12.6328125" style="4" customWidth="1"/>
    <col min="11" max="11" width="2.08984375" style="4" customWidth="1"/>
    <col min="12" max="12" width="11.81640625" style="4" customWidth="1"/>
    <col min="13" max="13" width="11.36328125" style="4" customWidth="1"/>
    <col min="14" max="16384" width="6.6328125" style="4"/>
  </cols>
  <sheetData>
    <row r="1" spans="1:18" ht="15.6">
      <c r="A1" s="3"/>
    </row>
    <row r="2" spans="1:18" ht="26.25" customHeight="1">
      <c r="A2" s="3"/>
    </row>
    <row r="3" spans="1:18" ht="57.75" customHeight="1">
      <c r="A3" s="3"/>
      <c r="B3" s="31" t="str">
        <f>UPPER(TEXT(DATE(CalendarYear,10,1),"[$-404]mmmm yyyy"))</f>
        <v>十月 2016</v>
      </c>
      <c r="C3" s="31"/>
      <c r="D3" s="31"/>
      <c r="E3" s="31"/>
      <c r="F3" s="31"/>
    </row>
    <row r="4" spans="1:18" s="3" customFormat="1" ht="29.25" customHeight="1">
      <c r="B4" s="1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7" t="s">
        <v>6</v>
      </c>
      <c r="I4" s="4"/>
      <c r="J4" s="4"/>
      <c r="L4" s="4"/>
      <c r="M4" s="8"/>
      <c r="Q4" s="4"/>
      <c r="R4" s="4"/>
    </row>
    <row r="5" spans="1:18" s="3" customFormat="1" ht="15" customHeight="1">
      <c r="B5" s="9" t="str">
        <f>IF(DAY(OctSun1)=1,"",IF(AND(YEAR(OctSun1+1)=CalendarYear,MONTH(OctSun1+1)=10),OctSun1+1,""))</f>
        <v/>
      </c>
      <c r="C5" s="6" t="s">
        <v>2</v>
      </c>
      <c r="D5" s="9" t="str">
        <f>IF(DAY(OctSun1)=1,"",IF(AND(YEAR(OctSun1+3)=CalendarYear,MONTH(OctSun1+3)=10),OctSun1+3,""))</f>
        <v/>
      </c>
      <c r="E5" s="9" t="str">
        <f>IF(DAY(OctSun1)=1,"",IF(AND(YEAR(OctSun1+4)=CalendarYear,MONTH(OctSun1+4)=10),OctSun1+4,""))</f>
        <v/>
      </c>
      <c r="F5" s="9" t="str">
        <f>IF(DAY(OctSun1)=1,"",IF(AND(YEAR(OctSun1+5)=CalendarYear,MONTH(OctSun1+5)=10),OctSun1+5,""))</f>
        <v/>
      </c>
      <c r="G5" s="9">
        <f>IF(DAY(OctSun1)=1,"",IF(AND(YEAR(OctSun1+6)=CalendarYear,MONTH(OctSun1+6)=10),OctSun1+6,""))</f>
        <v>42644</v>
      </c>
      <c r="H5" s="9">
        <f>IF(DAY(OctSun1)=1,IF(AND(YEAR(OctSun1)=CalendarYear,MONTH(OctSun1)=10),OctSun1,""),IF(AND(YEAR(OctSun1+7)=CalendarYear,MONTH(OctSun1+7)=10),OctSun1+7,""))</f>
        <v>42645</v>
      </c>
      <c r="I5" s="10"/>
      <c r="K5" s="4"/>
      <c r="L5" s="4"/>
      <c r="M5" s="4"/>
      <c r="Q5" s="11"/>
      <c r="R5" s="4"/>
    </row>
    <row r="6" spans="1:18" s="11" customFormat="1" ht="55.5" customHeight="1">
      <c r="A6" s="3"/>
      <c r="B6" s="12"/>
      <c r="C6" s="12"/>
      <c r="D6" s="12"/>
      <c r="E6" s="12"/>
      <c r="F6" s="12"/>
      <c r="G6" s="13"/>
      <c r="H6" s="13" t="s">
        <v>73</v>
      </c>
      <c r="I6" s="10"/>
    </row>
    <row r="7" spans="1:18" ht="15" customHeight="1">
      <c r="A7" s="3"/>
      <c r="B7" s="14">
        <f>IF(DAY(OctSun1)=1,IF(AND(YEAR(OctSun1+1)=CalendarYear,MONTH(OctSun1+1)=10),OctSun1+1,""),IF(AND(YEAR(OctSun1+8)=CalendarYear,MONTH(OctSun1+8)=10),OctSun1+8,""))</f>
        <v>42646</v>
      </c>
      <c r="C7" s="14">
        <f>IF(DAY(OctSun1)=1,IF(AND(YEAR(OctSun1+2)=CalendarYear,MONTH(OctSun1+2)=10),OctSun1+2,""),IF(AND(YEAR(OctSun1+9)=CalendarYear,MONTH(OctSun1+9)=10),OctSun1+9,""))</f>
        <v>42647</v>
      </c>
      <c r="D7" s="14">
        <f>IF(DAY(OctSun1)=1,IF(AND(YEAR(OctSun1+3)=CalendarYear,MONTH(OctSun1+3)=10),OctSun1+3,""),IF(AND(YEAR(OctSun1+10)=CalendarYear,MONTH(OctSun1+10)=10),OctSun1+10,""))</f>
        <v>42648</v>
      </c>
      <c r="E7" s="14">
        <f>IF(DAY(OctSun1)=1,IF(AND(YEAR(OctSun1+4)=CalendarYear,MONTH(OctSun1+4)=10),OctSun1+4,""),IF(AND(YEAR(OctSun1+11)=CalendarYear,MONTH(OctSun1+11)=10),OctSun1+11,""))</f>
        <v>42649</v>
      </c>
      <c r="F7" s="14">
        <f>IF(DAY(OctSun1)=1,IF(AND(YEAR(OctSun1+5)=CalendarYear,MONTH(OctSun1+5)=10),OctSun1+5,""),IF(AND(YEAR(OctSun1+12)=CalendarYear,MONTH(OctSun1+12)=10),OctSun1+12,""))</f>
        <v>42650</v>
      </c>
      <c r="G7" s="14">
        <f>IF(DAY(OctSun1)=1,IF(AND(YEAR(OctSun1+6)=CalendarYear,MONTH(OctSun1+6)=10),OctSun1+6,""),IF(AND(YEAR(OctSun1+13)=CalendarYear,MONTH(OctSun1+13)=10),OctSun1+13,""))</f>
        <v>42651</v>
      </c>
      <c r="H7" s="14">
        <f>IF(DAY(OctSun1)=1,IF(AND(YEAR(OctSun1+7)=CalendarYear,MONTH(OctSun1+7)=10),OctSun1+7,""),IF(AND(YEAR(OctSun1+14)=CalendarYear,MONTH(OctSun1+14)=10),OctSun1+14,""))</f>
        <v>42652</v>
      </c>
      <c r="I7" s="10"/>
    </row>
    <row r="8" spans="1:18" ht="55.5" customHeight="1">
      <c r="A8" s="3"/>
      <c r="B8" s="15"/>
      <c r="C8" s="15" t="s">
        <v>51</v>
      </c>
      <c r="D8" s="15"/>
      <c r="E8" s="15" t="s">
        <v>69</v>
      </c>
      <c r="F8" s="15"/>
      <c r="G8" s="16"/>
      <c r="H8" s="16"/>
      <c r="I8" s="10"/>
    </row>
    <row r="9" spans="1:18" ht="15" customHeight="1">
      <c r="A9" s="3"/>
      <c r="B9" s="17">
        <f>IF(DAY(OctSun1)=1,IF(AND(YEAR(OctSun1+8)=CalendarYear,MONTH(OctSun1+8)=10),OctSun1+8,""),IF(AND(YEAR(OctSun1+15)=CalendarYear,MONTH(OctSun1+15)=10),OctSun1+15,""))</f>
        <v>42653</v>
      </c>
      <c r="C9" s="17">
        <f>IF(DAY(OctSun1)=1,IF(AND(YEAR(OctSun1+9)=CalendarYear,MONTH(OctSun1+9)=10),OctSun1+9,""),IF(AND(YEAR(OctSun1+16)=CalendarYear,MONTH(OctSun1+16)=10),OctSun1+16,""))</f>
        <v>42654</v>
      </c>
      <c r="D9" s="17">
        <f>IF(DAY(OctSun1)=1,IF(AND(YEAR(OctSun1+10)=CalendarYear,MONTH(OctSun1+10)=10),OctSun1+10,""),IF(AND(YEAR(OctSun1+17)=CalendarYear,MONTH(OctSun1+17)=10),OctSun1+17,""))</f>
        <v>42655</v>
      </c>
      <c r="E9" s="17">
        <f>IF(DAY(OctSun1)=1,IF(AND(YEAR(OctSun1+11)=CalendarYear,MONTH(OctSun1+11)=10),OctSun1+11,""),IF(AND(YEAR(OctSun1+18)=CalendarYear,MONTH(OctSun1+18)=10),OctSun1+18,""))</f>
        <v>42656</v>
      </c>
      <c r="F9" s="17">
        <f>IF(DAY(OctSun1)=1,IF(AND(YEAR(OctSun1+12)=CalendarYear,MONTH(OctSun1+12)=10),OctSun1+12,""),IF(AND(YEAR(OctSun1+19)=CalendarYear,MONTH(OctSun1+19)=10),OctSun1+19,""))</f>
        <v>42657</v>
      </c>
      <c r="G9" s="17">
        <f>IF(DAY(OctSun1)=1,IF(AND(YEAR(OctSun1+13)=CalendarYear,MONTH(OctSun1+13)=10),OctSun1+13,""),IF(AND(YEAR(OctSun1+20)=CalendarYear,MONTH(OctSun1+20)=10),OctSun1+20,""))</f>
        <v>42658</v>
      </c>
      <c r="H9" s="17">
        <f>IF(DAY(OctSun1)=1,IF(AND(YEAR(OctSun1+14)=CalendarYear,MONTH(OctSun1+14)=10),OctSun1+14,""),IF(AND(YEAR(OctSun1+21)=CalendarYear,MONTH(OctSun1+21)=10),OctSun1+21,""))</f>
        <v>42659</v>
      </c>
      <c r="I9" s="10"/>
    </row>
    <row r="10" spans="1:18" ht="55.5" customHeight="1">
      <c r="A10" s="3"/>
      <c r="B10" s="23" t="s">
        <v>70</v>
      </c>
      <c r="C10" s="12" t="s">
        <v>50</v>
      </c>
      <c r="D10" s="12" t="s">
        <v>71</v>
      </c>
      <c r="E10" s="23" t="s">
        <v>68</v>
      </c>
      <c r="F10" s="12"/>
      <c r="G10" s="13"/>
      <c r="H10" s="13"/>
      <c r="I10" s="10"/>
    </row>
    <row r="11" spans="1:18" ht="15" customHeight="1">
      <c r="A11" s="3"/>
      <c r="B11" s="18">
        <f>IF(DAY(OctSun1)=1,IF(AND(YEAR(OctSun1+15)=CalendarYear,MONTH(OctSun1+15)=10),OctSun1+15,""),IF(AND(YEAR(OctSun1+22)=CalendarYear,MONTH(OctSun1+22)=10),OctSun1+22,""))</f>
        <v>42660</v>
      </c>
      <c r="C11" s="18">
        <v>18</v>
      </c>
      <c r="D11" s="18">
        <f>IF(DAY(OctSun1)=1,IF(AND(YEAR(OctSun1+17)=CalendarYear,MONTH(OctSun1+17)=10),OctSun1+17,""),IF(AND(YEAR(OctSun1+24)=CalendarYear,MONTH(OctSun1+24)=10),OctSun1+24,""))</f>
        <v>42662</v>
      </c>
      <c r="E11" s="18">
        <f>IF(DAY(OctSun1)=1,IF(AND(YEAR(OctSun1+18)=CalendarYear,MONTH(OctSun1+18)=10),OctSun1+18,""),IF(AND(YEAR(OctSun1+25)=CalendarYear,MONTH(OctSun1+25)=10),OctSun1+25,""))</f>
        <v>42663</v>
      </c>
      <c r="F11" s="18">
        <f>IF(DAY(OctSun1)=1,IF(AND(YEAR(OctSun1+19)=CalendarYear,MONTH(OctSun1+19)=10),OctSun1+19,""),IF(AND(YEAR(OctSun1+26)=CalendarYear,MONTH(OctSun1+26)=10),OctSun1+26,""))</f>
        <v>42664</v>
      </c>
      <c r="G11" s="18">
        <f>IF(DAY(OctSun1)=1,IF(AND(YEAR(OctSun1+20)=CalendarYear,MONTH(OctSun1+20)=10),OctSun1+20,""),IF(AND(YEAR(OctSun1+27)=CalendarYear,MONTH(OctSun1+27)=10),OctSun1+27,""))</f>
        <v>42665</v>
      </c>
      <c r="H11" s="18">
        <f>IF(DAY(OctSun1)=1,IF(AND(YEAR(OctSun1+21)=CalendarYear,MONTH(OctSun1+21)=10),OctSun1+21,""),IF(AND(YEAR(OctSun1+28)=CalendarYear,MONTH(OctSun1+28)=10),OctSun1+28,""))</f>
        <v>42666</v>
      </c>
      <c r="I11" s="10"/>
    </row>
    <row r="12" spans="1:18" ht="55.5" customHeight="1">
      <c r="A12" s="3"/>
      <c r="B12" s="15"/>
      <c r="C12" s="24" t="s">
        <v>39</v>
      </c>
      <c r="D12" s="15" t="s">
        <v>49</v>
      </c>
      <c r="E12" s="15" t="s">
        <v>59</v>
      </c>
      <c r="F12" s="15"/>
      <c r="G12" s="16"/>
      <c r="H12" s="16" t="s">
        <v>74</v>
      </c>
      <c r="I12" s="10"/>
    </row>
    <row r="13" spans="1:18" ht="15" customHeight="1">
      <c r="A13" s="3"/>
      <c r="B13" s="17">
        <f>IF(DAY(OctSun1)=1,IF(AND(YEAR(OctSun1+22)=CalendarYear,MONTH(OctSun1+22)=10),OctSun1+22,""),IF(AND(YEAR(OctSun1+29)=CalendarYear,MONTH(OctSun1+29)=10),OctSun1+29,""))</f>
        <v>42667</v>
      </c>
      <c r="C13" s="17">
        <f>IF(DAY(OctSun1)=1,IF(AND(YEAR(OctSun1+23)=CalendarYear,MONTH(OctSun1+23)=10),OctSun1+23,""),IF(AND(YEAR(OctSun1+30)=CalendarYear,MONTH(OctSun1+30)=10),OctSun1+30,""))</f>
        <v>42668</v>
      </c>
      <c r="D13" s="17">
        <f>IF(DAY(OctSun1)=1,IF(AND(YEAR(OctSun1+24)=CalendarYear,MONTH(OctSun1+24)=10),OctSun1+24,""),IF(AND(YEAR(OctSun1+31)=CalendarYear,MONTH(OctSun1+31)=10),OctSun1+31,""))</f>
        <v>42669</v>
      </c>
      <c r="E13" s="17">
        <f>IF(DAY(OctSun1)=1,IF(AND(YEAR(OctSun1+25)=CalendarYear,MONTH(OctSun1+25)=10),OctSun1+25,""),IF(AND(YEAR(OctSun1+32)=CalendarYear,MONTH(OctSun1+32)=10),OctSun1+32,""))</f>
        <v>42670</v>
      </c>
      <c r="F13" s="17">
        <f>IF(DAY(OctSun1)=1,IF(AND(YEAR(OctSun1+26)=CalendarYear,MONTH(OctSun1+26)=10),OctSun1+26,""),IF(AND(YEAR(OctSun1+33)=CalendarYear,MONTH(OctSun1+33)=10),OctSun1+33,""))</f>
        <v>42671</v>
      </c>
      <c r="G13" s="17">
        <f>IF(DAY(OctSun1)=1,IF(AND(YEAR(OctSun1+27)=CalendarYear,MONTH(OctSun1+27)=10),OctSun1+27,""),IF(AND(YEAR(OctSun1+34)=CalendarYear,MONTH(OctSun1+34)=10),OctSun1+34,""))</f>
        <v>42672</v>
      </c>
      <c r="H13" s="17">
        <f>IF(DAY(OctSun1)=1,IF(AND(YEAR(OctSun1+28)=CalendarYear,MONTH(OctSun1+28)=10),OctSun1+28,""),IF(AND(YEAR(OctSun1+35)=CalendarYear,MONTH(OctSun1+35)=10),OctSun1+35,""))</f>
        <v>42673</v>
      </c>
      <c r="I13" s="10"/>
    </row>
    <row r="14" spans="1:18" ht="55.5" customHeight="1">
      <c r="A14" s="3"/>
      <c r="B14" s="12"/>
      <c r="C14" s="12"/>
      <c r="D14" s="12"/>
      <c r="E14" s="12" t="s">
        <v>64</v>
      </c>
      <c r="F14" s="12"/>
      <c r="G14" s="13"/>
      <c r="H14" s="13" t="s">
        <v>75</v>
      </c>
      <c r="I14" s="10"/>
    </row>
    <row r="15" spans="1:18" ht="15" customHeight="1">
      <c r="A15" s="3"/>
      <c r="B15" s="18">
        <f>IF(DAY(OctSun1)=1,IF(AND(YEAR(OctSun1+29)=CalendarYear,MONTH(OctSun1+29)=10),OctSun1+29,""),IF(AND(YEAR(OctSun1+36)=CalendarYear,MONTH(OctSun1+36)=10),OctSun1+36,""))</f>
        <v>42674</v>
      </c>
      <c r="C15" s="19" t="str">
        <f>IF(DAY(OctSun1)=1,IF(AND(YEAR(OctSun1+30)=CalendarYear,MONTH(OctSun1+30)=10),OctSun1+30,""),IF(AND(YEAR(OctSun1+37)=CalendarYear,MONTH(OctSun1+37)=10),OctSun1+37,""))</f>
        <v/>
      </c>
      <c r="D15" s="28" t="s">
        <v>32</v>
      </c>
      <c r="E15" s="29"/>
      <c r="F15" s="29"/>
      <c r="G15" s="29"/>
      <c r="H15" s="30"/>
      <c r="I15" s="10"/>
    </row>
    <row r="16" spans="1:18" ht="60" customHeight="1">
      <c r="A16" s="3"/>
      <c r="B16" s="15"/>
      <c r="C16" s="15"/>
      <c r="D16" s="25" t="s">
        <v>43</v>
      </c>
      <c r="E16" s="26"/>
      <c r="F16" s="26"/>
      <c r="G16" s="26"/>
      <c r="H16" s="27"/>
      <c r="I16" s="10"/>
    </row>
    <row r="17" spans="3:5" ht="17.25" customHeight="1"/>
    <row r="19" spans="3:5" ht="21" customHeight="1">
      <c r="C19" s="20"/>
      <c r="D19" s="21"/>
      <c r="E19" s="22"/>
    </row>
    <row r="20" spans="3:5" ht="19.5" customHeight="1"/>
  </sheetData>
  <mergeCells count="3">
    <mergeCell ref="B3:F3"/>
    <mergeCell ref="D15:H15"/>
    <mergeCell ref="D16:H16"/>
  </mergeCells>
  <phoneticPr fontId="6" type="noConversion"/>
  <printOptions horizontalCentered="1" verticalCentered="1"/>
  <pageMargins left="0.2" right="0.2" top="0.25" bottom="0.25" header="0" footer="0"/>
  <pageSetup scale="68" orientation="landscape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1">
    <pageSetUpPr fitToPage="1"/>
  </sheetPr>
  <dimension ref="A1:R20"/>
  <sheetViews>
    <sheetView showGridLines="0" topLeftCell="A5" zoomScale="80" zoomScaleNormal="80" workbookViewId="0">
      <selection activeCell="C5" sqref="C5"/>
    </sheetView>
  </sheetViews>
  <sheetFormatPr defaultColWidth="6.6328125" defaultRowHeight="14.4"/>
  <cols>
    <col min="1" max="1" width="3.08984375" style="4" customWidth="1"/>
    <col min="2" max="9" width="13.81640625" style="4" customWidth="1"/>
    <col min="10" max="10" width="12.6328125" style="4" customWidth="1"/>
    <col min="11" max="11" width="2.08984375" style="4" customWidth="1"/>
    <col min="12" max="12" width="11.81640625" style="4" customWidth="1"/>
    <col min="13" max="13" width="11.36328125" style="4" customWidth="1"/>
    <col min="14" max="16384" width="6.6328125" style="4"/>
  </cols>
  <sheetData>
    <row r="1" spans="1:18" ht="15.6">
      <c r="A1" s="3"/>
    </row>
    <row r="2" spans="1:18" ht="26.25" customHeight="1">
      <c r="A2" s="3"/>
    </row>
    <row r="3" spans="1:18" ht="57.75" customHeight="1">
      <c r="A3" s="3"/>
      <c r="B3" s="31" t="str">
        <f>UPPER(TEXT(DATE(CalendarYear,11,1),"[$-404]mmmm yyyy"))</f>
        <v>十一月 2016</v>
      </c>
      <c r="C3" s="31"/>
      <c r="D3" s="31"/>
      <c r="E3" s="31"/>
      <c r="F3" s="31"/>
    </row>
    <row r="4" spans="1:18" s="3" customFormat="1" ht="29.25" customHeight="1">
      <c r="B4" s="1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7" t="s">
        <v>6</v>
      </c>
      <c r="I4" s="4"/>
      <c r="J4" s="4"/>
      <c r="L4" s="4"/>
      <c r="M4" s="8"/>
      <c r="Q4" s="4"/>
      <c r="R4" s="4"/>
    </row>
    <row r="5" spans="1:18" s="3" customFormat="1" ht="15" customHeight="1">
      <c r="B5" s="9" t="str">
        <f>IF(DAY(NovSun1)=1,"",IF(AND(YEAR(NovSun1+1)=CalendarYear,MONTH(NovSun1+1)=11),NovSun1+1,""))</f>
        <v/>
      </c>
      <c r="C5" s="9">
        <f>IF(DAY(NovSun1)=1,"",IF(AND(YEAR(NovSun1+2)=CalendarYear,MONTH(NovSun1+2)=11),NovSun1+2,""))</f>
        <v>42675</v>
      </c>
      <c r="D5" s="9">
        <f>IF(DAY(NovSun1)=1,"",IF(AND(YEAR(NovSun1+3)=CalendarYear,MONTH(NovSun1+3)=11),NovSun1+3,""))</f>
        <v>42676</v>
      </c>
      <c r="E5" s="9">
        <f>IF(DAY(NovSun1)=1,"",IF(AND(YEAR(NovSun1+4)=CalendarYear,MONTH(NovSun1+4)=11),NovSun1+4,""))</f>
        <v>42677</v>
      </c>
      <c r="F5" s="9">
        <f>IF(DAY(NovSun1)=1,"",IF(AND(YEAR(NovSun1+5)=CalendarYear,MONTH(NovSun1+5)=11),NovSun1+5,""))</f>
        <v>42678</v>
      </c>
      <c r="G5" s="9">
        <f>IF(DAY(NovSun1)=1,"",IF(AND(YEAR(NovSun1+6)=CalendarYear,MONTH(NovSun1+6)=11),NovSun1+6,""))</f>
        <v>42679</v>
      </c>
      <c r="H5" s="9">
        <f>IF(DAY(NovSun1)=1,IF(AND(YEAR(NovSun1)=CalendarYear,MONTH(NovSun1)=11),NovSun1,""),IF(AND(YEAR(NovSun1+7)=CalendarYear,MONTH(NovSun1+7)=11),NovSun1+7,""))</f>
        <v>42680</v>
      </c>
      <c r="I5" s="10"/>
      <c r="K5" s="4"/>
      <c r="L5" s="4"/>
      <c r="M5" s="4"/>
      <c r="Q5" s="11"/>
      <c r="R5" s="4"/>
    </row>
    <row r="6" spans="1:18" s="11" customFormat="1" ht="55.5" customHeight="1">
      <c r="A6" s="3"/>
      <c r="B6" s="12"/>
      <c r="C6" s="12" t="s">
        <v>25</v>
      </c>
      <c r="D6" s="12"/>
      <c r="E6" s="23" t="s">
        <v>44</v>
      </c>
      <c r="F6" s="12"/>
      <c r="G6" s="13"/>
      <c r="H6" s="13"/>
      <c r="I6" s="10"/>
    </row>
    <row r="7" spans="1:18" ht="15" customHeight="1">
      <c r="A7" s="3"/>
      <c r="B7" s="14">
        <f>IF(DAY(NovSun1)=1,IF(AND(YEAR(NovSun1+1)=CalendarYear,MONTH(NovSun1+1)=11),NovSun1+1,""),IF(AND(YEAR(NovSun1+8)=CalendarYear,MONTH(NovSun1+8)=11),NovSun1+8,""))</f>
        <v>42681</v>
      </c>
      <c r="C7" s="14">
        <f>IF(DAY(NovSun1)=1,IF(AND(YEAR(NovSun1+2)=CalendarYear,MONTH(NovSun1+2)=11),NovSun1+2,""),IF(AND(YEAR(NovSun1+9)=CalendarYear,MONTH(NovSun1+9)=11),NovSun1+9,""))</f>
        <v>42682</v>
      </c>
      <c r="D7" s="14">
        <f>IF(DAY(NovSun1)=1,IF(AND(YEAR(NovSun1+3)=CalendarYear,MONTH(NovSun1+3)=11),NovSun1+3,""),IF(AND(YEAR(NovSun1+10)=CalendarYear,MONTH(NovSun1+10)=11),NovSun1+10,""))</f>
        <v>42683</v>
      </c>
      <c r="E7" s="14">
        <f>IF(DAY(NovSun1)=1,IF(AND(YEAR(NovSun1+4)=CalendarYear,MONTH(NovSun1+4)=11),NovSun1+4,""),IF(AND(YEAR(NovSun1+11)=CalendarYear,MONTH(NovSun1+11)=11),NovSun1+11,""))</f>
        <v>42684</v>
      </c>
      <c r="F7" s="14">
        <f>IF(DAY(NovSun1)=1,IF(AND(YEAR(NovSun1+5)=CalendarYear,MONTH(NovSun1+5)=11),NovSun1+5,""),IF(AND(YEAR(NovSun1+12)=CalendarYear,MONTH(NovSun1+12)=11),NovSun1+12,""))</f>
        <v>42685</v>
      </c>
      <c r="G7" s="14">
        <f>IF(DAY(NovSun1)=1,IF(AND(YEAR(NovSun1+6)=CalendarYear,MONTH(NovSun1+6)=11),NovSun1+6,""),IF(AND(YEAR(NovSun1+13)=CalendarYear,MONTH(NovSun1+13)=11),NovSun1+13,""))</f>
        <v>42686</v>
      </c>
      <c r="H7" s="14">
        <f>IF(DAY(NovSun1)=1,IF(AND(YEAR(NovSun1+7)=CalendarYear,MONTH(NovSun1+7)=11),NovSun1+7,""),IF(AND(YEAR(NovSun1+14)=CalendarYear,MONTH(NovSun1+14)=11),NovSun1+14,""))</f>
        <v>42687</v>
      </c>
      <c r="I7" s="10"/>
    </row>
    <row r="8" spans="1:18" ht="55.5" customHeight="1">
      <c r="A8" s="3"/>
      <c r="B8" s="24" t="s">
        <v>16</v>
      </c>
      <c r="C8" s="24" t="s">
        <v>15</v>
      </c>
      <c r="D8" s="24" t="s">
        <v>15</v>
      </c>
      <c r="E8" s="24" t="s">
        <v>15</v>
      </c>
      <c r="F8" s="24" t="s">
        <v>17</v>
      </c>
      <c r="G8" s="16" t="s">
        <v>37</v>
      </c>
      <c r="H8" s="16"/>
      <c r="I8" s="10"/>
    </row>
    <row r="9" spans="1:18" ht="15" customHeight="1">
      <c r="A9" s="3"/>
      <c r="B9" s="17">
        <f>IF(DAY(NovSun1)=1,IF(AND(YEAR(NovSun1+8)=CalendarYear,MONTH(NovSun1+8)=11),NovSun1+8,""),IF(AND(YEAR(NovSun1+15)=CalendarYear,MONTH(NovSun1+15)=11),NovSun1+15,""))</f>
        <v>42688</v>
      </c>
      <c r="C9" s="17">
        <f>IF(DAY(NovSun1)=1,IF(AND(YEAR(NovSun1+9)=CalendarYear,MONTH(NovSun1+9)=11),NovSun1+9,""),IF(AND(YEAR(NovSun1+16)=CalendarYear,MONTH(NovSun1+16)=11),NovSun1+16,""))</f>
        <v>42689</v>
      </c>
      <c r="D9" s="17">
        <f>IF(DAY(NovSun1)=1,IF(AND(YEAR(NovSun1+10)=CalendarYear,MONTH(NovSun1+10)=11),NovSun1+10,""),IF(AND(YEAR(NovSun1+17)=CalendarYear,MONTH(NovSun1+17)=11),NovSun1+17,""))</f>
        <v>42690</v>
      </c>
      <c r="E9" s="17">
        <f>IF(DAY(NovSun1)=1,IF(AND(YEAR(NovSun1+11)=CalendarYear,MONTH(NovSun1+11)=11),NovSun1+11,""),IF(AND(YEAR(NovSun1+18)=CalendarYear,MONTH(NovSun1+18)=11),NovSun1+18,""))</f>
        <v>42691</v>
      </c>
      <c r="F9" s="17">
        <f>IF(DAY(NovSun1)=1,IF(AND(YEAR(NovSun1+12)=CalendarYear,MONTH(NovSun1+12)=11),NovSun1+12,""),IF(AND(YEAR(NovSun1+19)=CalendarYear,MONTH(NovSun1+19)=11),NovSun1+19,""))</f>
        <v>42692</v>
      </c>
      <c r="G9" s="17">
        <f>IF(DAY(NovSun1)=1,IF(AND(YEAR(NovSun1+13)=CalendarYear,MONTH(NovSun1+13)=11),NovSun1+13,""),IF(AND(YEAR(NovSun1+20)=CalendarYear,MONTH(NovSun1+20)=11),NovSun1+20,""))</f>
        <v>42693</v>
      </c>
      <c r="H9" s="17">
        <f>IF(DAY(NovSun1)=1,IF(AND(YEAR(NovSun1+14)=CalendarYear,MONTH(NovSun1+14)=11),NovSun1+14,""),IF(AND(YEAR(NovSun1+21)=CalendarYear,MONTH(NovSun1+21)=11),NovSun1+21,""))</f>
        <v>42694</v>
      </c>
      <c r="I9" s="10"/>
    </row>
    <row r="10" spans="1:18" ht="55.5" customHeight="1">
      <c r="A10" s="3"/>
      <c r="B10" s="12"/>
      <c r="C10" s="12"/>
      <c r="D10" s="12" t="s">
        <v>13</v>
      </c>
      <c r="E10" s="12" t="s">
        <v>60</v>
      </c>
      <c r="F10" s="12"/>
      <c r="G10" s="13"/>
      <c r="H10" s="13"/>
      <c r="I10" s="10"/>
    </row>
    <row r="11" spans="1:18" ht="15" customHeight="1">
      <c r="A11" s="3"/>
      <c r="B11" s="18">
        <f>IF(DAY(NovSun1)=1,IF(AND(YEAR(NovSun1+15)=CalendarYear,MONTH(NovSun1+15)=11),NovSun1+15,""),IF(AND(YEAR(NovSun1+22)=CalendarYear,MONTH(NovSun1+22)=11),NovSun1+22,""))</f>
        <v>42695</v>
      </c>
      <c r="C11" s="18">
        <f>IF(DAY(NovSun1)=1,IF(AND(YEAR(NovSun1+16)=CalendarYear,MONTH(NovSun1+16)=11),NovSun1+16,""),IF(AND(YEAR(NovSun1+23)=CalendarYear,MONTH(NovSun1+23)=11),NovSun1+23,""))</f>
        <v>42696</v>
      </c>
      <c r="D11" s="18">
        <f>IF(DAY(NovSun1)=1,IF(AND(YEAR(NovSun1+17)=CalendarYear,MONTH(NovSun1+17)=11),NovSun1+17,""),IF(AND(YEAR(NovSun1+24)=CalendarYear,MONTH(NovSun1+24)=11),NovSun1+24,""))</f>
        <v>42697</v>
      </c>
      <c r="E11" s="18">
        <f>IF(DAY(NovSun1)=1,IF(AND(YEAR(NovSun1+18)=CalendarYear,MONTH(NovSun1+18)=11),NovSun1+18,""),IF(AND(YEAR(NovSun1+25)=CalendarYear,MONTH(NovSun1+25)=11),NovSun1+25,""))</f>
        <v>42698</v>
      </c>
      <c r="F11" s="18">
        <f>IF(DAY(NovSun1)=1,IF(AND(YEAR(NovSun1+19)=CalendarYear,MONTH(NovSun1+19)=11),NovSun1+19,""),IF(AND(YEAR(NovSun1+26)=CalendarYear,MONTH(NovSun1+26)=11),NovSun1+26,""))</f>
        <v>42699</v>
      </c>
      <c r="G11" s="18">
        <f>IF(DAY(NovSun1)=1,IF(AND(YEAR(NovSun1+20)=CalendarYear,MONTH(NovSun1+20)=11),NovSun1+20,""),IF(AND(YEAR(NovSun1+27)=CalendarYear,MONTH(NovSun1+27)=11),NovSun1+27,""))</f>
        <v>42700</v>
      </c>
      <c r="H11" s="18">
        <f>IF(DAY(NovSun1)=1,IF(AND(YEAR(NovSun1+21)=CalendarYear,MONTH(NovSun1+21)=11),NovSun1+21,""),IF(AND(YEAR(NovSun1+28)=CalendarYear,MONTH(NovSun1+28)=11),NovSun1+28,""))</f>
        <v>42701</v>
      </c>
      <c r="I11" s="10"/>
    </row>
    <row r="12" spans="1:18" ht="55.5" customHeight="1">
      <c r="A12" s="3"/>
      <c r="B12" s="15"/>
      <c r="C12" s="15" t="s">
        <v>48</v>
      </c>
      <c r="D12" s="15" t="s">
        <v>11</v>
      </c>
      <c r="E12" s="15" t="s">
        <v>61</v>
      </c>
      <c r="F12" s="15"/>
      <c r="G12" s="16"/>
      <c r="H12" s="16" t="s">
        <v>27</v>
      </c>
      <c r="I12" s="10"/>
    </row>
    <row r="13" spans="1:18" ht="15" customHeight="1">
      <c r="A13" s="3"/>
      <c r="B13" s="17">
        <f>IF(DAY(NovSun1)=1,IF(AND(YEAR(NovSun1+22)=CalendarYear,MONTH(NovSun1+22)=11),NovSun1+22,""),IF(AND(YEAR(NovSun1+29)=CalendarYear,MONTH(NovSun1+29)=11),NovSun1+29,""))</f>
        <v>42702</v>
      </c>
      <c r="C13" s="17">
        <f>IF(DAY(NovSun1)=1,IF(AND(YEAR(NovSun1+23)=CalendarYear,MONTH(NovSun1+23)=11),NovSun1+23,""),IF(AND(YEAR(NovSun1+30)=CalendarYear,MONTH(NovSun1+30)=11),NovSun1+30,""))</f>
        <v>42703</v>
      </c>
      <c r="D13" s="17">
        <f>IF(DAY(NovSun1)=1,IF(AND(YEAR(NovSun1+24)=CalendarYear,MONTH(NovSun1+24)=11),NovSun1+24,""),IF(AND(YEAR(NovSun1+31)=CalendarYear,MONTH(NovSun1+31)=11),NovSun1+31,""))</f>
        <v>42704</v>
      </c>
      <c r="E13" s="17" t="str">
        <f>IF(DAY(NovSun1)=1,IF(AND(YEAR(NovSun1+25)=CalendarYear,MONTH(NovSun1+25)=11),NovSun1+25,""),IF(AND(YEAR(NovSun1+32)=CalendarYear,MONTH(NovSun1+32)=11),NovSun1+32,""))</f>
        <v/>
      </c>
      <c r="F13" s="17" t="str">
        <f>IF(DAY(NovSun1)=1,IF(AND(YEAR(NovSun1+26)=CalendarYear,MONTH(NovSun1+26)=11),NovSun1+26,""),IF(AND(YEAR(NovSun1+33)=CalendarYear,MONTH(NovSun1+33)=11),NovSun1+33,""))</f>
        <v/>
      </c>
      <c r="G13" s="17" t="str">
        <f>IF(DAY(NovSun1)=1,IF(AND(YEAR(NovSun1+27)=CalendarYear,MONTH(NovSun1+27)=11),NovSun1+27,""),IF(AND(YEAR(NovSun1+34)=CalendarYear,MONTH(NovSun1+34)=11),NovSun1+34,""))</f>
        <v/>
      </c>
      <c r="H13" s="17" t="str">
        <f>IF(DAY(NovSun1)=1,IF(AND(YEAR(NovSun1+28)=CalendarYear,MONTH(NovSun1+28)=11),NovSun1+28,""),IF(AND(YEAR(NovSun1+35)=CalendarYear,MONTH(NovSun1+35)=11),NovSun1+35,""))</f>
        <v/>
      </c>
      <c r="I13" s="10"/>
    </row>
    <row r="14" spans="1:18" ht="55.5" customHeight="1">
      <c r="A14" s="3"/>
      <c r="B14" s="12"/>
      <c r="C14" s="12" t="s">
        <v>40</v>
      </c>
      <c r="D14" s="12" t="s">
        <v>12</v>
      </c>
      <c r="E14" s="12"/>
      <c r="F14" s="12"/>
      <c r="G14" s="13"/>
      <c r="H14" s="13"/>
      <c r="I14" s="10"/>
    </row>
    <row r="15" spans="1:18" ht="15" customHeight="1">
      <c r="A15" s="3"/>
      <c r="B15" s="18" t="str">
        <f>IF(DAY(NovSun1)=1,IF(AND(YEAR(NovSun1+29)=CalendarYear,MONTH(NovSun1+29)=11),NovSun1+29,""),IF(AND(YEAR(NovSun1+36)=CalendarYear,MONTH(NovSun1+36)=11),NovSun1+36,""))</f>
        <v/>
      </c>
      <c r="C15" s="19" t="str">
        <f>IF(DAY(NovSun1)=1,IF(AND(YEAR(NovSun1+30)=CalendarYear,MONTH(NovSun1+30)=11),NovSun1+30,""),IF(AND(YEAR(NovSun1+37)=CalendarYear,MONTH(NovSun1+37)=11),NovSun1+37,""))</f>
        <v/>
      </c>
      <c r="D15" s="28" t="s">
        <v>34</v>
      </c>
      <c r="E15" s="29"/>
      <c r="F15" s="29"/>
      <c r="G15" s="29"/>
      <c r="H15" s="30"/>
      <c r="I15" s="10"/>
    </row>
    <row r="16" spans="1:18" ht="55.5" customHeight="1">
      <c r="A16" s="3"/>
      <c r="B16" s="15"/>
      <c r="C16" s="15"/>
      <c r="D16" s="25" t="s">
        <v>38</v>
      </c>
      <c r="E16" s="26"/>
      <c r="F16" s="26"/>
      <c r="G16" s="26"/>
      <c r="H16" s="27"/>
      <c r="I16" s="10"/>
    </row>
    <row r="17" spans="3:5" ht="17.25" customHeight="1"/>
    <row r="19" spans="3:5" ht="21" customHeight="1">
      <c r="C19" s="20"/>
      <c r="D19" s="21"/>
      <c r="E19" s="22"/>
    </row>
    <row r="20" spans="3:5" ht="19.5" customHeight="1"/>
  </sheetData>
  <mergeCells count="3">
    <mergeCell ref="B3:F3"/>
    <mergeCell ref="D15:H15"/>
    <mergeCell ref="D16:H16"/>
  </mergeCells>
  <phoneticPr fontId="6" type="noConversion"/>
  <printOptions horizontalCentered="1" verticalCentered="1"/>
  <pageMargins left="0.2" right="0.2" top="0.25" bottom="0.25" header="0" footer="0"/>
  <pageSetup scale="68" orientation="landscape" r:id="rId1"/>
  <headerFooter scaleWithDoc="0"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2">
    <pageSetUpPr fitToPage="1"/>
  </sheetPr>
  <dimension ref="A1:R20"/>
  <sheetViews>
    <sheetView showGridLines="0" topLeftCell="A8" zoomScale="80" zoomScaleNormal="80" workbookViewId="0">
      <selection activeCell="D16" sqref="D16:H16"/>
    </sheetView>
  </sheetViews>
  <sheetFormatPr defaultColWidth="6.6328125" defaultRowHeight="14.4"/>
  <cols>
    <col min="1" max="1" width="3.08984375" style="4" customWidth="1"/>
    <col min="2" max="9" width="13.81640625" style="4" customWidth="1"/>
    <col min="10" max="10" width="12.6328125" style="4" customWidth="1"/>
    <col min="11" max="11" width="2.08984375" style="4" customWidth="1"/>
    <col min="12" max="12" width="11.81640625" style="4" customWidth="1"/>
    <col min="13" max="13" width="11.36328125" style="4" customWidth="1"/>
    <col min="14" max="16384" width="6.6328125" style="4"/>
  </cols>
  <sheetData>
    <row r="1" spans="1:18" ht="15.6">
      <c r="A1" s="3"/>
    </row>
    <row r="2" spans="1:18" ht="26.25" customHeight="1">
      <c r="A2" s="3"/>
    </row>
    <row r="3" spans="1:18" ht="57.75" customHeight="1">
      <c r="A3" s="3"/>
      <c r="B3" s="31" t="str">
        <f>UPPER(TEXT(DATE(CalendarYear,12,1),"[$-404]mmmm yyyy"))</f>
        <v>十二月 2016</v>
      </c>
      <c r="C3" s="31"/>
      <c r="D3" s="31"/>
      <c r="E3" s="31"/>
      <c r="F3" s="31"/>
    </row>
    <row r="4" spans="1:18" s="3" customFormat="1" ht="29.25" customHeight="1">
      <c r="B4" s="1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7" t="s">
        <v>6</v>
      </c>
      <c r="I4" s="4"/>
      <c r="J4" s="4"/>
      <c r="L4" s="4"/>
      <c r="M4" s="8"/>
      <c r="Q4" s="4"/>
      <c r="R4" s="4"/>
    </row>
    <row r="5" spans="1:18" s="3" customFormat="1" ht="15" customHeight="1">
      <c r="B5" s="9" t="str">
        <f>IF(DAY(DecSun1)=1,"",IF(AND(YEAR(DecSun1+1)=CalendarYear,MONTH(DecSun1+1)=12),DecSun1+1,""))</f>
        <v/>
      </c>
      <c r="C5" s="9" t="str">
        <f>IF(DAY(DecSun1)=1,"",IF(AND(YEAR(DecSun1+2)=CalendarYear,MONTH(DecSun1+2)=12),DecSun1+2,""))</f>
        <v/>
      </c>
      <c r="D5" s="9" t="str">
        <f>IF(DAY(DecSun1)=1,"",IF(AND(YEAR(DecSun1+3)=CalendarYear,MONTH(DecSun1+3)=12),DecSun1+3,""))</f>
        <v/>
      </c>
      <c r="E5" s="9">
        <f>IF(DAY(DecSun1)=1,"",IF(AND(YEAR(DecSun1+4)=CalendarYear,MONTH(DecSun1+4)=12),DecSun1+4,""))</f>
        <v>42705</v>
      </c>
      <c r="F5" s="9">
        <f>IF(DAY(DecSun1)=1,"",IF(AND(YEAR(DecSun1+5)=CalendarYear,MONTH(DecSun1+5)=12),DecSun1+5,""))</f>
        <v>42706</v>
      </c>
      <c r="G5" s="9">
        <f>IF(DAY(DecSun1)=1,"",IF(AND(YEAR(DecSun1+6)=CalendarYear,MONTH(DecSun1+6)=12),DecSun1+6,""))</f>
        <v>42707</v>
      </c>
      <c r="H5" s="9">
        <f>IF(DAY(DecSun1)=1,IF(AND(YEAR(DecSun1)=CalendarYear,MONTH(DecSun1)=12),DecSun1,""),IF(AND(YEAR(DecSun1+7)=CalendarYear,MONTH(DecSun1+7)=12),DecSun1+7,""))</f>
        <v>42708</v>
      </c>
      <c r="I5" s="10"/>
      <c r="K5" s="4"/>
      <c r="L5" s="4"/>
      <c r="M5" s="4"/>
      <c r="Q5" s="11"/>
      <c r="R5" s="4"/>
    </row>
    <row r="6" spans="1:18" s="11" customFormat="1" ht="55.5" customHeight="1">
      <c r="A6" s="3"/>
      <c r="B6" s="12"/>
      <c r="C6" s="12"/>
      <c r="D6" s="12"/>
      <c r="E6" s="12" t="s">
        <v>54</v>
      </c>
      <c r="F6" s="12"/>
      <c r="G6" s="13"/>
      <c r="H6" s="13"/>
      <c r="I6" s="10"/>
    </row>
    <row r="7" spans="1:18" ht="15" customHeight="1">
      <c r="A7" s="3"/>
      <c r="B7" s="14">
        <f>IF(DAY(DecSun1)=1,IF(AND(YEAR(DecSun1+1)=CalendarYear,MONTH(DecSun1+1)=12),DecSun1+1,""),IF(AND(YEAR(DecSun1+8)=CalendarYear,MONTH(DecSun1+8)=12),DecSun1+8,""))</f>
        <v>42709</v>
      </c>
      <c r="C7" s="14">
        <f>IF(DAY(DecSun1)=1,IF(AND(YEAR(DecSun1+2)=CalendarYear,MONTH(DecSun1+2)=12),DecSun1+2,""),IF(AND(YEAR(DecSun1+9)=CalendarYear,MONTH(DecSun1+9)=12),DecSun1+9,""))</f>
        <v>42710</v>
      </c>
      <c r="D7" s="14">
        <f>IF(DAY(DecSun1)=1,IF(AND(YEAR(DecSun1+3)=CalendarYear,MONTH(DecSun1+3)=12),DecSun1+3,""),IF(AND(YEAR(DecSun1+10)=CalendarYear,MONTH(DecSun1+10)=12),DecSun1+10,""))</f>
        <v>42711</v>
      </c>
      <c r="E7" s="14">
        <f>IF(DAY(DecSun1)=1,IF(AND(YEAR(DecSun1+4)=CalendarYear,MONTH(DecSun1+4)=12),DecSun1+4,""),IF(AND(YEAR(DecSun1+11)=CalendarYear,MONTH(DecSun1+11)=12),DecSun1+11,""))</f>
        <v>42712</v>
      </c>
      <c r="F7" s="14">
        <f>IF(DAY(DecSun1)=1,IF(AND(YEAR(DecSun1+5)=CalendarYear,MONTH(DecSun1+5)=12),DecSun1+5,""),IF(AND(YEAR(DecSun1+12)=CalendarYear,MONTH(DecSun1+12)=12),DecSun1+12,""))</f>
        <v>42713</v>
      </c>
      <c r="G7" s="14">
        <f>IF(DAY(DecSun1)=1,IF(AND(YEAR(DecSun1+6)=CalendarYear,MONTH(DecSun1+6)=12),DecSun1+6,""),IF(AND(YEAR(DecSun1+13)=CalendarYear,MONTH(DecSun1+13)=12),DecSun1+13,""))</f>
        <v>42714</v>
      </c>
      <c r="H7" s="14">
        <f>IF(DAY(DecSun1)=1,IF(AND(YEAR(DecSun1+7)=CalendarYear,MONTH(DecSun1+7)=12),DecSun1+7,""),IF(AND(YEAR(DecSun1+14)=CalendarYear,MONTH(DecSun1+14)=12),DecSun1+14,""))</f>
        <v>42715</v>
      </c>
      <c r="I7" s="10"/>
    </row>
    <row r="8" spans="1:18" ht="55.5" customHeight="1">
      <c r="A8" s="3"/>
      <c r="B8" s="15"/>
      <c r="C8" s="15" t="s">
        <v>41</v>
      </c>
      <c r="D8" s="15" t="s">
        <v>10</v>
      </c>
      <c r="E8" s="15" t="s">
        <v>53</v>
      </c>
      <c r="F8" s="15" t="s">
        <v>62</v>
      </c>
      <c r="G8" s="16"/>
      <c r="H8" s="16"/>
      <c r="I8" s="10"/>
    </row>
    <row r="9" spans="1:18" ht="15" customHeight="1">
      <c r="A9" s="3"/>
      <c r="B9" s="17">
        <f>IF(DAY(DecSun1)=1,IF(AND(YEAR(DecSun1+8)=CalendarYear,MONTH(DecSun1+8)=12),DecSun1+8,""),IF(AND(YEAR(DecSun1+15)=CalendarYear,MONTH(DecSun1+15)=12),DecSun1+15,""))</f>
        <v>42716</v>
      </c>
      <c r="C9" s="17">
        <f>IF(DAY(DecSun1)=1,IF(AND(YEAR(DecSun1+9)=CalendarYear,MONTH(DecSun1+9)=12),DecSun1+9,""),IF(AND(YEAR(DecSun1+16)=CalendarYear,MONTH(DecSun1+16)=12),DecSun1+16,""))</f>
        <v>42717</v>
      </c>
      <c r="D9" s="17">
        <f>IF(DAY(DecSun1)=1,IF(AND(YEAR(DecSun1+10)=CalendarYear,MONTH(DecSun1+10)=12),DecSun1+10,""),IF(AND(YEAR(DecSun1+17)=CalendarYear,MONTH(DecSun1+17)=12),DecSun1+17,""))</f>
        <v>42718</v>
      </c>
      <c r="E9" s="17">
        <f>IF(DAY(DecSun1)=1,IF(AND(YEAR(DecSun1+11)=CalendarYear,MONTH(DecSun1+11)=12),DecSun1+11,""),IF(AND(YEAR(DecSun1+18)=CalendarYear,MONTH(DecSun1+18)=12),DecSun1+18,""))</f>
        <v>42719</v>
      </c>
      <c r="F9" s="17">
        <f>IF(DAY(DecSun1)=1,IF(AND(YEAR(DecSun1+12)=CalendarYear,MONTH(DecSun1+12)=12),DecSun1+12,""),IF(AND(YEAR(DecSun1+19)=CalendarYear,MONTH(DecSun1+19)=12),DecSun1+19,""))</f>
        <v>42720</v>
      </c>
      <c r="G9" s="17">
        <f>IF(DAY(DecSun1)=1,IF(AND(YEAR(DecSun1+13)=CalendarYear,MONTH(DecSun1+13)=12),DecSun1+13,""),IF(AND(YEAR(DecSun1+20)=CalendarYear,MONTH(DecSun1+20)=12),DecSun1+20,""))</f>
        <v>42721</v>
      </c>
      <c r="H9" s="17">
        <f>IF(DAY(DecSun1)=1,IF(AND(YEAR(DecSun1+14)=CalendarYear,MONTH(DecSun1+14)=12),DecSun1+14,""),IF(AND(YEAR(DecSun1+21)=CalendarYear,MONTH(DecSun1+21)=12),DecSun1+21,""))</f>
        <v>42722</v>
      </c>
      <c r="I9" s="10"/>
    </row>
    <row r="10" spans="1:18" ht="55.5" customHeight="1">
      <c r="A10" s="3"/>
      <c r="B10" s="12"/>
      <c r="C10" s="12"/>
      <c r="D10" s="12" t="s">
        <v>45</v>
      </c>
      <c r="E10" s="12" t="s">
        <v>52</v>
      </c>
      <c r="F10" s="12" t="s">
        <v>46</v>
      </c>
      <c r="G10" s="13"/>
      <c r="H10" s="13"/>
      <c r="I10" s="10"/>
    </row>
    <row r="11" spans="1:18" ht="15" customHeight="1">
      <c r="A11" s="3"/>
      <c r="B11" s="18">
        <f>IF(DAY(DecSun1)=1,IF(AND(YEAR(DecSun1+15)=CalendarYear,MONTH(DecSun1+15)=12),DecSun1+15,""),IF(AND(YEAR(DecSun1+22)=CalendarYear,MONTH(DecSun1+22)=12),DecSun1+22,""))</f>
        <v>42723</v>
      </c>
      <c r="C11" s="18">
        <f>IF(DAY(DecSun1)=1,IF(AND(YEAR(DecSun1+16)=CalendarYear,MONTH(DecSun1+16)=12),DecSun1+16,""),IF(AND(YEAR(DecSun1+23)=CalendarYear,MONTH(DecSun1+23)=12),DecSun1+23,""))</f>
        <v>42724</v>
      </c>
      <c r="D11" s="18">
        <f>IF(DAY(DecSun1)=1,IF(AND(YEAR(DecSun1+17)=CalendarYear,MONTH(DecSun1+17)=12),DecSun1+17,""),IF(AND(YEAR(DecSun1+24)=CalendarYear,MONTH(DecSun1+24)=12),DecSun1+24,""))</f>
        <v>42725</v>
      </c>
      <c r="E11" s="18">
        <f>IF(DAY(DecSun1)=1,IF(AND(YEAR(DecSun1+18)=CalendarYear,MONTH(DecSun1+18)=12),DecSun1+18,""),IF(AND(YEAR(DecSun1+25)=CalendarYear,MONTH(DecSun1+25)=12),DecSun1+25,""))</f>
        <v>42726</v>
      </c>
      <c r="F11" s="18">
        <f>IF(DAY(DecSun1)=1,IF(AND(YEAR(DecSun1+19)=CalendarYear,MONTH(DecSun1+19)=12),DecSun1+19,""),IF(AND(YEAR(DecSun1+26)=CalendarYear,MONTH(DecSun1+26)=12),DecSun1+26,""))</f>
        <v>42727</v>
      </c>
      <c r="G11" s="18">
        <f>IF(DAY(DecSun1)=1,IF(AND(YEAR(DecSun1+20)=CalendarYear,MONTH(DecSun1+20)=12),DecSun1+20,""),IF(AND(YEAR(DecSun1+27)=CalendarYear,MONTH(DecSun1+27)=12),DecSun1+27,""))</f>
        <v>42728</v>
      </c>
      <c r="H11" s="18">
        <f>IF(DAY(DecSun1)=1,IF(AND(YEAR(DecSun1+21)=CalendarYear,MONTH(DecSun1+21)=12),DecSun1+21,""),IF(AND(YEAR(DecSun1+28)=CalendarYear,MONTH(DecSun1+28)=12),DecSun1+28,""))</f>
        <v>42729</v>
      </c>
      <c r="I11" s="10"/>
    </row>
    <row r="12" spans="1:18" ht="55.5" customHeight="1">
      <c r="A12" s="3"/>
      <c r="B12" s="15"/>
      <c r="C12" s="15"/>
      <c r="D12" s="15" t="s">
        <v>42</v>
      </c>
      <c r="E12" s="15" t="s">
        <v>63</v>
      </c>
      <c r="F12" s="15"/>
      <c r="G12" s="16"/>
      <c r="H12" s="16"/>
      <c r="I12" s="10"/>
    </row>
    <row r="13" spans="1:18" ht="15" customHeight="1">
      <c r="A13" s="3"/>
      <c r="B13" s="17">
        <f>IF(DAY(DecSun1)=1,IF(AND(YEAR(DecSun1+22)=CalendarYear,MONTH(DecSun1+22)=12),DecSun1+22,""),IF(AND(YEAR(DecSun1+29)=CalendarYear,MONTH(DecSun1+29)=12),DecSun1+29,""))</f>
        <v>42730</v>
      </c>
      <c r="C13" s="17">
        <f>IF(DAY(DecSun1)=1,IF(AND(YEAR(DecSun1+23)=CalendarYear,MONTH(DecSun1+23)=12),DecSun1+23,""),IF(AND(YEAR(DecSun1+30)=CalendarYear,MONTH(DecSun1+30)=12),DecSun1+30,""))</f>
        <v>42731</v>
      </c>
      <c r="D13" s="17">
        <f>IF(DAY(DecSun1)=1,IF(AND(YEAR(DecSun1+24)=CalendarYear,MONTH(DecSun1+24)=12),DecSun1+24,""),IF(AND(YEAR(DecSun1+31)=CalendarYear,MONTH(DecSun1+31)=12),DecSun1+31,""))</f>
        <v>42732</v>
      </c>
      <c r="E13" s="17">
        <f>IF(DAY(DecSun1)=1,IF(AND(YEAR(DecSun1+25)=CalendarYear,MONTH(DecSun1+25)=12),DecSun1+25,""),IF(AND(YEAR(DecSun1+32)=CalendarYear,MONTH(DecSun1+32)=12),DecSun1+32,""))</f>
        <v>42733</v>
      </c>
      <c r="F13" s="17">
        <f>IF(DAY(DecSun1)=1,IF(AND(YEAR(DecSun1+26)=CalendarYear,MONTH(DecSun1+26)=12),DecSun1+26,""),IF(AND(YEAR(DecSun1+33)=CalendarYear,MONTH(DecSun1+33)=12),DecSun1+33,""))</f>
        <v>42734</v>
      </c>
      <c r="G13" s="17">
        <f>IF(DAY(DecSun1)=1,IF(AND(YEAR(DecSun1+27)=CalendarYear,MONTH(DecSun1+27)=12),DecSun1+27,""),IF(AND(YEAR(DecSun1+34)=CalendarYear,MONTH(DecSun1+34)=12),DecSun1+34,""))</f>
        <v>42735</v>
      </c>
      <c r="H13" s="17" t="str">
        <f>IF(DAY(DecSun1)=1,IF(AND(YEAR(DecSun1+28)=CalendarYear,MONTH(DecSun1+28)=12),DecSun1+28,""),IF(AND(YEAR(DecSun1+35)=CalendarYear,MONTH(DecSun1+35)=12),DecSun1+35,""))</f>
        <v/>
      </c>
      <c r="I13" s="10"/>
    </row>
    <row r="14" spans="1:18" ht="55.5" customHeight="1">
      <c r="A14" s="3"/>
      <c r="B14" s="12"/>
      <c r="C14" s="12" t="s">
        <v>14</v>
      </c>
      <c r="D14" s="12"/>
      <c r="E14" s="12" t="s">
        <v>23</v>
      </c>
      <c r="F14" s="12" t="s">
        <v>24</v>
      </c>
      <c r="G14" s="13"/>
      <c r="H14" s="13"/>
      <c r="I14" s="10"/>
    </row>
    <row r="15" spans="1:18" ht="15" customHeight="1">
      <c r="A15" s="3"/>
      <c r="B15" s="18" t="str">
        <f>IF(DAY(DecSun1)=1,IF(AND(YEAR(DecSun1+29)=CalendarYear,MONTH(DecSun1+29)=12),DecSun1+29,""),IF(AND(YEAR(DecSun1+36)=CalendarYear,MONTH(DecSun1+36)=12),DecSun1+36,""))</f>
        <v/>
      </c>
      <c r="C15" s="19" t="str">
        <f>IF(DAY(DecSun1)=1,IF(AND(YEAR(DecSun1+30)=CalendarYear,MONTH(DecSun1+30)=12),DecSun1+30,""),IF(AND(YEAR(DecSun1+37)=CalendarYear,MONTH(DecSun1+37)=12),DecSun1+37,""))</f>
        <v/>
      </c>
      <c r="D15" s="28" t="s">
        <v>35</v>
      </c>
      <c r="E15" s="29"/>
      <c r="F15" s="29"/>
      <c r="G15" s="29"/>
      <c r="H15" s="30"/>
      <c r="I15" s="10"/>
    </row>
    <row r="16" spans="1:18" ht="55.5" customHeight="1">
      <c r="A16" s="3"/>
      <c r="B16" s="15"/>
      <c r="C16" s="15"/>
      <c r="D16" s="25" t="s">
        <v>31</v>
      </c>
      <c r="E16" s="26"/>
      <c r="F16" s="26"/>
      <c r="G16" s="26"/>
      <c r="H16" s="27"/>
      <c r="I16" s="10"/>
    </row>
    <row r="17" spans="3:5" ht="22.5" customHeight="1"/>
    <row r="19" spans="3:5" ht="21" customHeight="1">
      <c r="C19" s="20"/>
      <c r="D19" s="21"/>
      <c r="E19" s="22"/>
    </row>
    <row r="20" spans="3:5" ht="19.5" customHeight="1"/>
  </sheetData>
  <mergeCells count="3">
    <mergeCell ref="B3:F3"/>
    <mergeCell ref="D15:H15"/>
    <mergeCell ref="D16:H16"/>
  </mergeCells>
  <phoneticPr fontId="6" type="noConversion"/>
  <printOptions horizontalCentered="1" verticalCentered="1"/>
  <pageMargins left="0.2" right="0.2" top="0.25" bottom="0.25" header="0" footer="0"/>
  <pageSetup scale="68" orientation="landscape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topLeftCell="A6" zoomScale="80" zoomScaleNormal="80" workbookViewId="0">
      <selection activeCell="B10" sqref="B10:F10"/>
    </sheetView>
  </sheetViews>
  <sheetFormatPr defaultColWidth="6.6328125" defaultRowHeight="14.4"/>
  <cols>
    <col min="1" max="1" width="3.08984375" style="4" customWidth="1"/>
    <col min="2" max="9" width="13.81640625" style="4" customWidth="1"/>
    <col min="10" max="10" width="12.6328125" style="4" customWidth="1"/>
    <col min="11" max="11" width="2.08984375" style="4" customWidth="1"/>
    <col min="12" max="12" width="11.81640625" style="4" customWidth="1"/>
    <col min="13" max="13" width="11.36328125" style="4" customWidth="1"/>
    <col min="14" max="16384" width="6.6328125" style="4"/>
  </cols>
  <sheetData>
    <row r="1" spans="1:18" ht="15.6">
      <c r="A1" s="3"/>
      <c r="L1" s="2" t="s">
        <v>7</v>
      </c>
    </row>
    <row r="2" spans="1:18" ht="26.25" customHeight="1">
      <c r="A2" s="3"/>
      <c r="L2" s="5">
        <v>2017</v>
      </c>
    </row>
    <row r="3" spans="1:18" ht="57.75" customHeight="1">
      <c r="A3" s="3"/>
      <c r="B3" s="31" t="str">
        <f>UPPER(TEXT(DATE(CalendarYear,1,1),"[$-404]mmmm yyyy"))</f>
        <v>一月 2017</v>
      </c>
      <c r="C3" s="31"/>
      <c r="D3" s="31"/>
      <c r="E3" s="31"/>
      <c r="F3" s="31"/>
    </row>
    <row r="4" spans="1:18" s="3" customFormat="1" ht="29.25" customHeight="1">
      <c r="B4" s="1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7" t="s">
        <v>6</v>
      </c>
      <c r="I4" s="4"/>
      <c r="J4" s="4"/>
      <c r="L4" s="4"/>
      <c r="M4" s="8"/>
      <c r="Q4" s="4"/>
      <c r="R4" s="4"/>
    </row>
    <row r="5" spans="1:18" s="3" customFormat="1" ht="15" customHeight="1">
      <c r="B5" s="9" t="str">
        <f>IF(DAY(JanSun1)=1,"",IF(AND(YEAR(JanSun1+1)=CalendarYear,MONTH(JanSun1+1)=1),JanSun1+1,""))</f>
        <v/>
      </c>
      <c r="C5" s="9" t="str">
        <f>IF(DAY(JanSun1)=1,"",IF(AND(YEAR(JanSun1+2)=CalendarYear,MONTH(JanSun1+2)=1),JanSun1+2,""))</f>
        <v/>
      </c>
      <c r="D5" s="9" t="str">
        <f>IF(DAY(JanSun1)=1,"",IF(AND(YEAR(JanSun1+3)=CalendarYear,MONTH(JanSun1+3)=1),JanSun1+3,""))</f>
        <v/>
      </c>
      <c r="E5" s="9" t="str">
        <f>IF(DAY(JanSun1)=1,"",IF(AND(YEAR(JanSun1+4)=CalendarYear,MONTH(JanSun1+4)=1),JanSun1+4,""))</f>
        <v/>
      </c>
      <c r="F5" s="9" t="str">
        <f>IF(DAY(JanSun1)=1,"",IF(AND(YEAR(JanSun1+5)=CalendarYear,MONTH(JanSun1+5)=1),JanSun1+5,""))</f>
        <v/>
      </c>
      <c r="G5" s="9" t="str">
        <f>IF(DAY(JanSun1)=1,"",IF(AND(YEAR(JanSun1+6)=CalendarYear,MONTH(JanSun1+6)=1),JanSun1+6,""))</f>
        <v/>
      </c>
      <c r="H5" s="9">
        <f>IF(DAY(JanSun1)=1,IF(AND(YEAR(JanSun1)=CalendarYear,MONTH(JanSun1)=1),JanSun1,""),IF(AND(YEAR(JanSun1+7)=CalendarYear,MONTH(JanSun1+7)=1),JanSun1+7,""))</f>
        <v>42736</v>
      </c>
      <c r="I5" s="10"/>
      <c r="K5" s="4"/>
      <c r="L5" s="4"/>
      <c r="M5" s="4"/>
      <c r="Q5" s="11"/>
      <c r="R5" s="4"/>
    </row>
    <row r="6" spans="1:18" s="11" customFormat="1" ht="55.5" customHeight="1">
      <c r="A6" s="3"/>
      <c r="B6" s="12"/>
      <c r="C6" s="12"/>
      <c r="D6" s="12"/>
      <c r="E6" s="12"/>
      <c r="F6" s="12"/>
      <c r="G6" s="13"/>
      <c r="H6" s="13"/>
      <c r="I6" s="10"/>
    </row>
    <row r="7" spans="1:18" ht="15" customHeight="1">
      <c r="A7" s="3"/>
      <c r="B7" s="14">
        <f>IF(DAY(JanSun1)=1,IF(AND(YEAR(JanSun1+1)=CalendarYear,MONTH(JanSun1+1)=1),JanSun1+1,""),IF(AND(YEAR(JanSun1+8)=CalendarYear,MONTH(JanSun1+8)=1),JanSun1+8,""))</f>
        <v>42737</v>
      </c>
      <c r="C7" s="14">
        <f>IF(DAY(JanSun1)=1,IF(AND(YEAR(JanSun1+2)=CalendarYear,MONTH(JanSun1+2)=1),JanSun1+2,""),IF(AND(YEAR(JanSun1+9)=CalendarYear,MONTH(JanSun1+9)=1),JanSun1+9,""))</f>
        <v>42738</v>
      </c>
      <c r="D7" s="14">
        <f>IF(DAY(JanSun1)=1,IF(AND(YEAR(JanSun1+3)=CalendarYear,MONTH(JanSun1+3)=1),JanSun1+3,""),IF(AND(YEAR(JanSun1+10)=CalendarYear,MONTH(JanSun1+10)=1),JanSun1+10,""))</f>
        <v>42739</v>
      </c>
      <c r="E7" s="14">
        <f>IF(DAY(JanSun1)=1,IF(AND(YEAR(JanSun1+4)=CalendarYear,MONTH(JanSun1+4)=1),JanSun1+4,""),IF(AND(YEAR(JanSun1+11)=CalendarYear,MONTH(JanSun1+11)=1),JanSun1+11,""))</f>
        <v>42740</v>
      </c>
      <c r="F7" s="14">
        <f>IF(DAY(JanSun1)=1,IF(AND(YEAR(JanSun1+5)=CalendarYear,MONTH(JanSun1+5)=1),JanSun1+5,""),IF(AND(YEAR(JanSun1+12)=CalendarYear,MONTH(JanSun1+12)=1),JanSun1+12,""))</f>
        <v>42741</v>
      </c>
      <c r="G7" s="14">
        <f>IF(DAY(JanSun1)=1,IF(AND(YEAR(JanSun1+6)=CalendarYear,MONTH(JanSun1+6)=1),JanSun1+6,""),IF(AND(YEAR(JanSun1+13)=CalendarYear,MONTH(JanSun1+13)=1),JanSun1+13,""))</f>
        <v>42742</v>
      </c>
      <c r="H7" s="14">
        <f>IF(DAY(JanSun1)=1,IF(AND(YEAR(JanSun1+7)=CalendarYear,MONTH(JanSun1+7)=1),JanSun1+7,""),IF(AND(YEAR(JanSun1+14)=CalendarYear,MONTH(JanSun1+14)=1),JanSun1+14,""))</f>
        <v>42743</v>
      </c>
      <c r="I7" s="10"/>
    </row>
    <row r="8" spans="1:18" ht="55.5" customHeight="1">
      <c r="A8" s="3"/>
      <c r="B8" s="15"/>
      <c r="C8" s="15"/>
      <c r="D8" s="15"/>
      <c r="E8" s="15"/>
      <c r="F8" s="15"/>
      <c r="G8" s="16"/>
      <c r="H8" s="16"/>
      <c r="I8" s="10"/>
    </row>
    <row r="9" spans="1:18" ht="15" customHeight="1">
      <c r="A9" s="3"/>
      <c r="B9" s="17">
        <f>IF(DAY(JanSun1)=1,IF(AND(YEAR(JanSun1+8)=CalendarYear,MONTH(JanSun1+8)=1),JanSun1+8,""),IF(AND(YEAR(JanSun1+15)=CalendarYear,MONTH(JanSun1+15)=1),JanSun1+15,""))</f>
        <v>42744</v>
      </c>
      <c r="C9" s="17">
        <f>IF(DAY(JanSun1)=1,IF(AND(YEAR(JanSun1+9)=CalendarYear,MONTH(JanSun1+9)=1),JanSun1+9,""),IF(AND(YEAR(JanSun1+16)=CalendarYear,MONTH(JanSun1+16)=1),JanSun1+16,""))</f>
        <v>42745</v>
      </c>
      <c r="D9" s="17">
        <f>IF(DAY(JanSun1)=1,IF(AND(YEAR(JanSun1+10)=CalendarYear,MONTH(JanSun1+10)=1),JanSun1+10,""),IF(AND(YEAR(JanSun1+17)=CalendarYear,MONTH(JanSun1+17)=1),JanSun1+17,""))</f>
        <v>42746</v>
      </c>
      <c r="E9" s="17">
        <f>IF(DAY(JanSun1)=1,IF(AND(YEAR(JanSun1+11)=CalendarYear,MONTH(JanSun1+11)=1),JanSun1+11,""),IF(AND(YEAR(JanSun1+18)=CalendarYear,MONTH(JanSun1+18)=1),JanSun1+18,""))</f>
        <v>42747</v>
      </c>
      <c r="F9" s="17">
        <f>IF(DAY(JanSun1)=1,IF(AND(YEAR(JanSun1+12)=CalendarYear,MONTH(JanSun1+12)=1),JanSun1+12,""),IF(AND(YEAR(JanSun1+19)=CalendarYear,MONTH(JanSun1+19)=1),JanSun1+19,""))</f>
        <v>42748</v>
      </c>
      <c r="G9" s="17">
        <f>IF(DAY(JanSun1)=1,IF(AND(YEAR(JanSun1+13)=CalendarYear,MONTH(JanSun1+13)=1),JanSun1+13,""),IF(AND(YEAR(JanSun1+20)=CalendarYear,MONTH(JanSun1+20)=1),JanSun1+20,""))</f>
        <v>42749</v>
      </c>
      <c r="H9" s="17">
        <f>IF(DAY(JanSun1)=1,IF(AND(YEAR(JanSun1+14)=CalendarYear,MONTH(JanSun1+14)=1),JanSun1+14,""),IF(AND(YEAR(JanSun1+21)=CalendarYear,MONTH(JanSun1+21)=1),JanSun1+21,""))</f>
        <v>42750</v>
      </c>
      <c r="I9" s="10"/>
    </row>
    <row r="10" spans="1:18" ht="55.5" customHeight="1">
      <c r="A10" s="3"/>
      <c r="B10" s="23" t="s">
        <v>21</v>
      </c>
      <c r="C10" s="23" t="s">
        <v>18</v>
      </c>
      <c r="D10" s="23" t="s">
        <v>19</v>
      </c>
      <c r="E10" s="23" t="s">
        <v>18</v>
      </c>
      <c r="F10" s="23" t="s">
        <v>20</v>
      </c>
      <c r="G10" s="12"/>
      <c r="H10" s="13"/>
      <c r="I10" s="10"/>
    </row>
    <row r="11" spans="1:18" ht="15" customHeight="1">
      <c r="A11" s="3"/>
      <c r="B11" s="18">
        <f>IF(DAY(JanSun1)=1,IF(AND(YEAR(JanSun1+15)=CalendarYear,MONTH(JanSun1+15)=1),JanSun1+15,""),IF(AND(YEAR(JanSun1+22)=CalendarYear,MONTH(JanSun1+22)=1),JanSun1+22,""))</f>
        <v>42751</v>
      </c>
      <c r="C11" s="18">
        <f>IF(DAY(JanSun1)=1,IF(AND(YEAR(JanSun1+16)=CalendarYear,MONTH(JanSun1+16)=1),JanSun1+16,""),IF(AND(YEAR(JanSun1+23)=CalendarYear,MONTH(JanSun1+23)=1),JanSun1+23,""))</f>
        <v>42752</v>
      </c>
      <c r="D11" s="18">
        <f>IF(DAY(JanSun1)=1,IF(AND(YEAR(JanSun1+17)=CalendarYear,MONTH(JanSun1+17)=1),JanSun1+17,""),IF(AND(YEAR(JanSun1+24)=CalendarYear,MONTH(JanSun1+24)=1),JanSun1+24,""))</f>
        <v>42753</v>
      </c>
      <c r="E11" s="18">
        <f>IF(DAY(JanSun1)=1,IF(AND(YEAR(JanSun1+18)=CalendarYear,MONTH(JanSun1+18)=1),JanSun1+18,""),IF(AND(YEAR(JanSun1+25)=CalendarYear,MONTH(JanSun1+25)=1),JanSun1+25,""))</f>
        <v>42754</v>
      </c>
      <c r="F11" s="18">
        <f>IF(DAY(JanSun1)=1,IF(AND(YEAR(JanSun1+19)=CalendarYear,MONTH(JanSun1+19)=1),JanSun1+19,""),IF(AND(YEAR(JanSun1+26)=CalendarYear,MONTH(JanSun1+26)=1),JanSun1+26,""))</f>
        <v>42755</v>
      </c>
      <c r="G11" s="18">
        <f>IF(DAY(JanSun1)=1,IF(AND(YEAR(JanSun1+20)=CalendarYear,MONTH(JanSun1+20)=1),JanSun1+20,""),IF(AND(YEAR(JanSun1+27)=CalendarYear,MONTH(JanSun1+27)=1),JanSun1+27,""))</f>
        <v>42756</v>
      </c>
      <c r="H11" s="18">
        <f>IF(DAY(JanSun1)=1,IF(AND(YEAR(JanSun1+21)=CalendarYear,MONTH(JanSun1+21)=1),JanSun1+21,""),IF(AND(YEAR(JanSun1+28)=CalendarYear,MONTH(JanSun1+28)=1),JanSun1+28,""))</f>
        <v>42757</v>
      </c>
      <c r="I11" s="10"/>
    </row>
    <row r="12" spans="1:18" ht="55.5" customHeight="1">
      <c r="A12" s="3"/>
      <c r="B12" s="15"/>
      <c r="C12" s="15"/>
      <c r="D12" s="15"/>
      <c r="E12" s="15"/>
      <c r="F12" s="15"/>
      <c r="G12" s="16"/>
      <c r="H12" s="16" t="s">
        <v>28</v>
      </c>
      <c r="I12" s="10"/>
    </row>
    <row r="13" spans="1:18" ht="15" customHeight="1">
      <c r="A13" s="3"/>
      <c r="B13" s="17">
        <f>IF(DAY(JanSun1)=1,IF(AND(YEAR(JanSun1+22)=CalendarYear,MONTH(JanSun1+22)=1),JanSun1+22,""),IF(AND(YEAR(JanSun1+29)=CalendarYear,MONTH(JanSun1+29)=1),JanSun1+29,""))</f>
        <v>42758</v>
      </c>
      <c r="C13" s="17">
        <f>IF(DAY(JanSun1)=1,IF(AND(YEAR(JanSun1+23)=CalendarYear,MONTH(JanSun1+23)=1),JanSun1+23,""),IF(AND(YEAR(JanSun1+30)=CalendarYear,MONTH(JanSun1+30)=1),JanSun1+30,""))</f>
        <v>42759</v>
      </c>
      <c r="D13" s="17">
        <f>IF(DAY(JanSun1)=1,IF(AND(YEAR(JanSun1+24)=CalendarYear,MONTH(JanSun1+24)=1),JanSun1+24,""),IF(AND(YEAR(JanSun1+31)=CalendarYear,MONTH(JanSun1+31)=1),JanSun1+31,""))</f>
        <v>42760</v>
      </c>
      <c r="E13" s="17">
        <f>IF(DAY(JanSun1)=1,IF(AND(YEAR(JanSun1+25)=CalendarYear,MONTH(JanSun1+25)=1),JanSun1+25,""),IF(AND(YEAR(JanSun1+32)=CalendarYear,MONTH(JanSun1+32)=1),JanSun1+32,""))</f>
        <v>42761</v>
      </c>
      <c r="F13" s="17">
        <f>IF(DAY(JanSun1)=1,IF(AND(YEAR(JanSun1+26)=CalendarYear,MONTH(JanSun1+26)=1),JanSun1+26,""),IF(AND(YEAR(JanSun1+33)=CalendarYear,MONTH(JanSun1+33)=1),JanSun1+33,""))</f>
        <v>42762</v>
      </c>
      <c r="G13" s="17">
        <f>IF(DAY(JanSun1)=1,IF(AND(YEAR(JanSun1+27)=CalendarYear,MONTH(JanSun1+27)=1),JanSun1+27,""),IF(AND(YEAR(JanSun1+34)=CalendarYear,MONTH(JanSun1+34)=1),JanSun1+34,""))</f>
        <v>42763</v>
      </c>
      <c r="H13" s="17">
        <f>IF(DAY(JanSun1)=1,IF(AND(YEAR(JanSun1+28)=CalendarYear,MONTH(JanSun1+28)=1),JanSun1+28,""),IF(AND(YEAR(JanSun1+35)=CalendarYear,MONTH(JanSun1+35)=1),JanSun1+35,""))</f>
        <v>42764</v>
      </c>
      <c r="I13" s="10"/>
    </row>
    <row r="14" spans="1:18" ht="55.5" customHeight="1">
      <c r="A14" s="3"/>
      <c r="B14" s="12"/>
      <c r="C14" s="12"/>
      <c r="D14" s="12"/>
      <c r="E14" s="12"/>
      <c r="F14" s="12"/>
      <c r="G14" s="13"/>
      <c r="H14" s="13"/>
      <c r="I14" s="10"/>
    </row>
    <row r="15" spans="1:18" ht="15" customHeight="1">
      <c r="A15" s="3"/>
      <c r="B15" s="18">
        <f>IF(DAY(JanSun1)=1,IF(AND(YEAR(JanSun1+29)=CalendarYear,MONTH(JanSun1+29)=1),JanSun1+29,""),IF(AND(YEAR(JanSun1+36)=CalendarYear,MONTH(JanSun1+36)=1),JanSun1+36,""))</f>
        <v>42765</v>
      </c>
      <c r="C15" s="19">
        <f>IF(DAY(JanSun1)=1,IF(AND(YEAR(JanSun1+30)=CalendarYear,MONTH(JanSun1+30)=1),JanSun1+30,""),IF(AND(YEAR(JanSun1+37)=CalendarYear,MONTH(JanSun1+37)=1),JanSun1+37,""))</f>
        <v>42766</v>
      </c>
      <c r="D15" s="28" t="s">
        <v>35</v>
      </c>
      <c r="E15" s="29"/>
      <c r="F15" s="29"/>
      <c r="G15" s="29"/>
      <c r="H15" s="30"/>
      <c r="I15" s="10"/>
    </row>
    <row r="16" spans="1:18" ht="55.5" customHeight="1">
      <c r="A16" s="3"/>
      <c r="B16" s="15"/>
      <c r="C16" s="15"/>
      <c r="D16" s="25" t="s">
        <v>36</v>
      </c>
      <c r="E16" s="26"/>
      <c r="F16" s="26"/>
      <c r="G16" s="26"/>
      <c r="H16" s="27"/>
      <c r="I16" s="10"/>
    </row>
    <row r="17" spans="3:5" ht="17.25" customHeight="1"/>
    <row r="19" spans="3:5" ht="21" customHeight="1">
      <c r="C19" s="20"/>
      <c r="D19" s="21"/>
      <c r="E19" s="22"/>
    </row>
    <row r="20" spans="3:5" ht="19.5" customHeight="1"/>
  </sheetData>
  <mergeCells count="3">
    <mergeCell ref="B3:F3"/>
    <mergeCell ref="D15:H15"/>
    <mergeCell ref="D16:H16"/>
  </mergeCells>
  <phoneticPr fontId="19" type="noConversion"/>
  <printOptions horizontalCentered="1" verticalCentered="1"/>
  <pageMargins left="0.2" right="0.2" top="0.25" bottom="0.25" header="0" footer="0"/>
  <pageSetup scale="68" orientation="landscape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Spinner 1">
              <controlPr defaultSize="0" autoPict="0" altText="微調按鈕控制項。使用微調按鈕變更行事曆年度，或在儲存格 L2 中輸入想要的年度">
                <anchor moveWithCells="1">
                  <from>
                    <xdr:col>11</xdr:col>
                    <xdr:colOff>952500</xdr:colOff>
                    <xdr:row>1</xdr:row>
                    <xdr:rowOff>45720</xdr:rowOff>
                  </from>
                  <to>
                    <xdr:col>12</xdr:col>
                    <xdr:colOff>83820</xdr:colOff>
                    <xdr:row>2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35FE055-26FF-4389-A30B-04D76EE521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9</vt:i4>
      </vt:variant>
    </vt:vector>
  </HeadingPairs>
  <TitlesOfParts>
    <vt:vector size="16" baseType="lpstr">
      <vt:lpstr>一月</vt:lpstr>
      <vt:lpstr>八月</vt:lpstr>
      <vt:lpstr>九月</vt:lpstr>
      <vt:lpstr>十月</vt:lpstr>
      <vt:lpstr>十一月</vt:lpstr>
      <vt:lpstr>十二月</vt:lpstr>
      <vt:lpstr>2017一月 </vt:lpstr>
      <vt:lpstr>'2017一月 '!CalendarYear</vt:lpstr>
      <vt:lpstr>CalendarYear</vt:lpstr>
      <vt:lpstr>'2017一月 '!Print_Area</vt:lpstr>
      <vt:lpstr>一月!Print_Area</vt:lpstr>
      <vt:lpstr>九月!Print_Area</vt:lpstr>
      <vt:lpstr>八月!Print_Area</vt:lpstr>
      <vt:lpstr>十一月!Print_Area</vt:lpstr>
      <vt:lpstr>十二月!Print_Area</vt:lpstr>
      <vt:lpstr>十月!Print_Area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2016-07-30T16:12:13Z</dcterms:created>
  <dcterms:modified xsi:type="dcterms:W3CDTF">2016-09-08T14:43:26Z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TC025507569991</vt:lpwstr>
  </property>
</Properties>
</file>